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165" firstSheet="20" activeTab="2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<sst xmlns="http://schemas.openxmlformats.org/spreadsheetml/2006/main" count="1934" uniqueCount="715">
  <si>
    <t>2026年部门预算公开表</t>
  </si>
  <si>
    <t>单位编码：</t>
  </si>
  <si>
    <t>420001</t>
  </si>
  <si>
    <t>单位名称：</t>
  </si>
  <si>
    <t>岳阳县畜牧水产发展服务中心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</si>
  <si>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</si>
  <si>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</si>
  <si>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</si>
  <si>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</si>
  <si>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</si>
  <si>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</si>
  <si>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</si>
  <si>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</si>
  <si>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</si>
  <si>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</si>
  <si>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</si>
  <si>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</si>
  <si>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</si>
  <si>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</si>
  <si>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</si>
  <si>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</si>
  <si>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</si>
  <si>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</si>
  <si>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</si>
  <si>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</si>
  <si>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</si>
  <si>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</si>
  <si>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</si>
  <si>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</si>
  <si>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</si>
  <si>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</si>
  <si>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单位：420001_岳阳县畜牧水产发展服务中心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</si>
  <si>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</si>
  <si>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</si>
  <si>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</si>
  <si>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</si>
  <si>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</si>
  <si>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</si>
  <si>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</si>
  <si>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</si>
  <si>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</si>
  <si>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</si>
  <si>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</si>
  <si>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</si>
  <si>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</si>
  <si>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</si>
  <si>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</si>
  <si>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</si>
  <si>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</si>
  <si>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</si>
  <si>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</si>
  <si>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</si>
  <si>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</si>
  <si>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</si>
  <si>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</si>
  <si>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</si>
  <si>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</si>
  <si>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</si>
  <si>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</si>
  <si>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</si>
  <si>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</si>
  <si>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</si>
  <si>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</si>
  <si>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</si>
  <si>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</si>
  <si>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</si>
  <si>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</si>
  <si>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</si>
  <si>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</si>
  <si>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</si>
  <si>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</si>
  <si>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</si>
  <si>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</si>
  <si>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</si>
  <si>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</si>
  <si>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</si>
  <si>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</si>
  <si>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</si>
  <si>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</si>
  <si>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</si>
  <si>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</si>
  <si>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</si>
  <si>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</si>
  <si>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</si>
  <si>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</si>
  <si>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</si>
  <si>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</si>
  <si>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</si>
  <si>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</si>
  <si>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</si>
  <si>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</si>
  <si>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</si>
  <si>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</si>
  <si>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</si>
  <si>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</si>
  <si>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</si>
  <si>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</si>
  <si>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</si>
  <si>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</si>
  <si>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</si>
  <si>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</si>
  <si>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</si>
  <si>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</si>
  <si>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</si>
  <si>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</si>
  <si>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</si>
  <si>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</si>
  <si>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</si>
  <si>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</si>
  <si>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</si>
  <si>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</si>
  <si>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</si>
  <si>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</si>
  <si>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</si>
  <si>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</si>
  <si>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</si>
  <si>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</si>
  <si>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</si>
  <si>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</si>
  <si>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</si>
  <si>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</si>
  <si>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</si>
  <si>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</si>
  <si>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</si>
  <si>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</si>
  <si>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</si>
  <si>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</si>
  <si>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</si>
  <si>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</si>
  <si>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</si>
  <si>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</si>
  <si>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</si>
  <si>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</si>
  <si>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</si>
  <si>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</si>
  <si>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</si>
  <si>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</si>
  <si>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</si>
  <si>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</si>
  <si>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</si>
  <si>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</si>
  <si>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</si>
  <si>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</si>
  <si>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</si>
  <si>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</si>
  <si>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</si>
  <si>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</si>
  <si>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</si>
  <si>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</si>
  <si>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</si>
  <si>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</si>
  <si>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</si>
  <si>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</si>
  <si>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</si>
  <si>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420</t>
  </si>
  <si>
    <t xml:space="preserve">  420001</t>
  </si>
  <si>
    <t xml:space="preserve">  岳阳县畜牧水产发展服务中心</t>
  </si>
  <si>
    <t xml:space="preserve">  420006</t>
  </si>
  <si>
    <t xml:space="preserve">  岳阳县畜禽良种繁殖场</t>
  </si>
  <si>
    <t xml:space="preserve">  420005</t>
  </si>
  <si>
    <t xml:space="preserve">  岳阳县乡镇渔政服务中心</t>
  </si>
  <si>
    <t xml:space="preserve">  420008</t>
  </si>
  <si>
    <t xml:space="preserve">  岳阳县农产品质量安全检测中心</t>
  </si>
  <si>
    <t xml:space="preserve">  420007</t>
  </si>
  <si>
    <t xml:space="preserve">  岳阳县养殖技术推广站</t>
  </si>
  <si>
    <t xml:space="preserve">  420002</t>
  </si>
  <si>
    <t xml:space="preserve">  岳阳县动物疫病预防控制中心（岳阳县动物卫生监督所）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</si>
  <si>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</si>
  <si>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</si>
  <si>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</si>
  <si>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</si>
  <si>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</si>
  <si>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</si>
  <si>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</si>
  <si>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</si>
  <si>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</si>
  <si>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</si>
  <si>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</si>
  <si>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</si>
  <si>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岳阳县畜牧水产发展服务中心</t>
  </si>
  <si>
    <t>201</t>
  </si>
  <si>
    <t xml:space="preserve">   201</t>
  </si>
  <si>
    <t xml:space="preserve">   一般公共服务支出</t>
  </si>
  <si>
    <t>06</t>
  </si>
  <si>
    <t xml:space="preserve">     20106</t>
  </si>
  <si>
    <t xml:space="preserve">     财政事务</t>
  </si>
  <si>
    <t>50</t>
  </si>
  <si>
    <t xml:space="preserve">      2010650</t>
  </si>
  <si>
    <t xml:space="preserve">      事业运行</t>
  </si>
  <si>
    <t>08</t>
  </si>
  <si>
    <t xml:space="preserve">     20108</t>
  </si>
  <si>
    <t xml:space="preserve">     审计事务</t>
  </si>
  <si>
    <t xml:space="preserve">      2010850</t>
  </si>
  <si>
    <t>208</t>
  </si>
  <si>
    <t xml:space="preserve">   208</t>
  </si>
  <si>
    <t xml:space="preserve">   社会保障和就业支出</t>
  </si>
  <si>
    <t>01</t>
  </si>
  <si>
    <t xml:space="preserve">     20801</t>
  </si>
  <si>
    <t xml:space="preserve">     人力资源和社会保障管理事务</t>
  </si>
  <si>
    <t xml:space="preserve">      2080150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</si>
  <si>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</si>
  <si>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</si>
  <si>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</si>
  <si>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</si>
  <si>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</si>
  <si>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99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</si>
  <si>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</si>
  <si>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</si>
  <si>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</si>
  <si>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</si>
  <si>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</si>
  <si>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</si>
  <si>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</si>
  <si>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</si>
  <si>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</si>
  <si>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</si>
  <si>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</si>
  <si>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</si>
  <si>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02</t>
  </si>
  <si>
    <t xml:space="preserve">      2101102</t>
  </si>
  <si>
    <t xml:space="preserve">      事业单位医疗</t>
  </si>
  <si>
    <t>03</t>
  </si>
  <si>
    <t xml:space="preserve">      2101103</t>
  </si>
  <si>
    <t xml:space="preserve">      公务员医疗补助</t>
  </si>
  <si>
    <t>213</t>
  </si>
  <si>
    <t xml:space="preserve">   213</t>
  </si>
  <si>
    <t xml:space="preserve">   农林水支出</t>
  </si>
  <si>
    <t xml:space="preserve">     21301</t>
  </si>
  <si>
    <t xml:space="preserve">     农业农村</t>
  </si>
  <si>
    <t xml:space="preserve">      2130101</t>
  </si>
  <si>
    <t xml:space="preserve">      行政运行</t>
  </si>
  <si>
    <t>04</t>
  </si>
  <si>
    <t xml:space="preserve">      2130104</t>
  </si>
  <si>
    <t xml:space="preserve">      2130199</t>
  </si>
  <si>
    <t xml:space="preserve">      其他农业农村支出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</si>
  <si>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</si>
  <si>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</si>
  <si>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</si>
  <si>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</si>
  <si>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</si>
  <si>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</si>
  <si>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</si>
  <si>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</si>
  <si>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</si>
  <si>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</si>
  <si>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</si>
  <si>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</si>
  <si>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</si>
  <si>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</si>
  <si>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</si>
  <si>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</si>
  <si>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</si>
  <si>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</si>
  <si>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</si>
  <si>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</si>
  <si>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</si>
  <si>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</si>
  <si>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</si>
  <si>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</si>
  <si>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</si>
  <si>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420002</t>
  </si>
  <si>
    <t xml:space="preserve">    事业运行</t>
  </si>
  <si>
    <t xml:space="preserve">    420001</t>
  </si>
  <si>
    <t xml:space="preserve">    机关事业单位基本养老保险缴费支出</t>
  </si>
  <si>
    <t xml:space="preserve">    其他社会保障和就业支出</t>
  </si>
  <si>
    <t xml:space="preserve">    行政单位医疗</t>
  </si>
  <si>
    <t xml:space="preserve">    事业单位医疗</t>
  </si>
  <si>
    <t xml:space="preserve">    公务员医疗补助</t>
  </si>
  <si>
    <t xml:space="preserve">    行政运行</t>
  </si>
  <si>
    <t xml:space="preserve">    其他农业农村支出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</si>
  <si>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</si>
  <si>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</si>
  <si>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</si>
  <si>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</si>
  <si>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</si>
  <si>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</si>
  <si>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</si>
  <si>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</si>
  <si>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</si>
  <si>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</si>
  <si>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</si>
  <si>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 xml:space="preserve">    420005</t>
  </si>
  <si>
    <t xml:space="preserve">    420006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</si>
  <si>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</si>
  <si>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</si>
  <si>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</si>
  <si>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</si>
  <si>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</si>
  <si>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</si>
  <si>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</si>
  <si>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</si>
  <si>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</si>
  <si>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</si>
  <si>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</si>
  <si>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</si>
  <si>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</si>
  <si>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</si>
  <si>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</si>
  <si>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20106</t>
  </si>
  <si>
    <t xml:space="preserve">    财政事务</t>
  </si>
  <si>
    <t xml:space="preserve">     2010650</t>
  </si>
  <si>
    <t xml:space="preserve">     事业运行</t>
  </si>
  <si>
    <t xml:space="preserve">    20108</t>
  </si>
  <si>
    <t xml:space="preserve">    审计事务</t>
  </si>
  <si>
    <t xml:space="preserve">     2010850</t>
  </si>
  <si>
    <t xml:space="preserve">    20801</t>
  </si>
  <si>
    <t xml:space="preserve">    人力资源和社会保障管理事务</t>
  </si>
  <si>
    <t xml:space="preserve">     2080150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</si>
  <si>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</si>
  <si>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</si>
  <si>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</si>
  <si>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</si>
  <si>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</si>
  <si>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</si>
  <si>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</si>
  <si>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</si>
  <si>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</si>
  <si>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</si>
  <si>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</si>
  <si>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</si>
  <si>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</si>
  <si>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</si>
  <si>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21301</t>
  </si>
  <si>
    <t xml:space="preserve">    农业农村</t>
  </si>
  <si>
    <t xml:space="preserve">     2130101</t>
  </si>
  <si>
    <t xml:space="preserve">     行政运行</t>
  </si>
  <si>
    <t xml:space="preserve">     2130199</t>
  </si>
  <si>
    <t xml:space="preserve">     其他农业农村支出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</si>
  <si>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</si>
  <si>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</si>
  <si>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</si>
  <si>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</si>
  <si>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</si>
  <si>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</si>
  <si>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</si>
  <si>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</si>
  <si>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</si>
  <si>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</si>
  <si>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</si>
  <si>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</si>
  <si>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</si>
  <si>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</si>
  <si>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</si>
  <si>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</si>
  <si>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</si>
  <si>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</si>
  <si>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</si>
  <si>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</si>
  <si>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</si>
  <si>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</si>
  <si>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</si>
  <si>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</si>
  <si>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</si>
  <si>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</si>
  <si>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</si>
  <si>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30113</t>
  </si>
  <si>
    <t xml:space="preserve">  住房公积金</t>
  </si>
  <si>
    <t>302</t>
  </si>
  <si>
    <t>商品和服务支出</t>
  </si>
  <si>
    <t xml:space="preserve">  30217</t>
  </si>
  <si>
    <t xml:space="preserve">  公务接待费</t>
  </si>
  <si>
    <t xml:space="preserve">  30201</t>
  </si>
  <si>
    <t xml:space="preserve">  办公费</t>
  </si>
  <si>
    <t xml:space="preserve">  30206</t>
  </si>
  <si>
    <t xml:space="preserve">  电费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</si>
  <si>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</si>
  <si>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</si>
  <si>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</si>
  <si>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</si>
  <si>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30239</t>
  </si>
  <si>
    <t xml:space="preserve">  其他交通费用</t>
  </si>
  <si>
    <t xml:space="preserve">  30202</t>
  </si>
  <si>
    <t xml:space="preserve">  印刷费</t>
  </si>
  <si>
    <t xml:space="preserve">  30211</t>
  </si>
  <si>
    <t xml:space="preserve">  差旅费</t>
  </si>
  <si>
    <t xml:space="preserve">  30299</t>
  </si>
  <si>
    <t xml:space="preserve">  其他商品和服务支出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</si>
  <si>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</si>
  <si>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</si>
  <si>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</si>
  <si>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</si>
  <si>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</si>
  <si>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</si>
  <si>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</si>
  <si>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</si>
  <si>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</si>
  <si>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</si>
  <si>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</si>
  <si>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</si>
  <si>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</si>
  <si>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</si>
  <si>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</si>
  <si>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</si>
  <si>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</si>
  <si>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</si>
  <si>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</si>
  <si>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</si>
  <si>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</si>
  <si>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</si>
  <si>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</si>
  <si>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</si>
  <si>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</si>
  <si>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</si>
  <si>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</si>
  <si>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</si>
  <si>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</si>
  <si>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</si>
  <si>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</si>
  <si>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</si>
  <si>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</si>
  <si>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</si>
  <si>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</si>
  <si>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</si>
  <si>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</si>
  <si>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</si>
  <si>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</si>
  <si>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</si>
  <si>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</si>
  <si>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</si>
  <si>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</si>
  <si>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</si>
  <si>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</si>
  <si>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</si>
  <si>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</si>
  <si>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</si>
  <si>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</si>
  <si>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</si>
  <si>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</si>
  <si>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</si>
  <si>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</si>
  <si>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</si>
  <si>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</si>
  <si>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</si>
  <si>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</si>
  <si>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</si>
  <si>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</si>
  <si>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</si>
  <si>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</si>
  <si>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</si>
  <si>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</si>
  <si>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</si>
  <si>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</si>
  <si>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</si>
  <si>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</si>
  <si>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</si>
  <si>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</si>
  <si>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</si>
  <si>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</si>
  <si>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</si>
  <si>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</si>
  <si>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</si>
  <si>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</si>
  <si>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</si>
  <si>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</si>
  <si>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</si>
  <si>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</si>
  <si>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</si>
  <si>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</si>
  <si>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</si>
  <si>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</si>
  <si>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</si>
  <si>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</si>
  <si>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</si>
  <si>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</si>
  <si>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</si>
  <si>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</si>
  <si>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</si>
  <si>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</si>
  <si>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</si>
  <si>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</si>
  <si>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</si>
  <si>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</si>
  <si>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</si>
  <si>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</si>
  <si>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</si>
  <si>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</si>
  <si>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</si>
  <si>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420001</t>
  </si>
  <si>
    <t xml:space="preserve">   2026年内陆渔业和渔政管理及新墙河流域管理</t>
  </si>
  <si>
    <t xml:space="preserve">   2026年农产品质量安全检验检测</t>
  </si>
  <si>
    <t xml:space="preserve">   2026年屠宰场驻场检疫经费</t>
  </si>
  <si>
    <t xml:space="preserve">   2026年畜牧水产发展经费</t>
  </si>
  <si>
    <t xml:space="preserve">   2026年重大动物疫病防控</t>
  </si>
  <si>
    <t xml:space="preserve">   420008</t>
  </si>
  <si>
    <t xml:space="preserve">   2026畜禽水产品检测</t>
  </si>
  <si>
    <t xml:space="preserve">   420002</t>
  </si>
  <si>
    <t xml:space="preserve">   2026年动物检疫专项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</si>
  <si>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</si>
  <si>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</si>
  <si>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</si>
  <si>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</si>
  <si>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</si>
  <si>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</si>
  <si>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</si>
  <si>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</si>
  <si>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</si>
  <si>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</si>
  <si>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</si>
  <si>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</si>
  <si>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</si>
  <si>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</si>
  <si>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2026年内陆渔业和渔政管理及新墙河流域管理</t>
  </si>
  <si>
    <t>加强渔业安全生产监管执法的信息化建设，提升渔业安全生产监管执法的效能和水平，建设高素质执法队伍，提高渔业安全生产监管执法的公平性和公正性。</t>
  </si>
  <si>
    <t>成本指标</t>
  </si>
  <si>
    <t>经济成本指标</t>
  </si>
  <si>
    <t>预算控制数</t>
  </si>
  <si>
    <t>42</t>
  </si>
  <si>
    <t>预算控制在42万元以内</t>
  </si>
  <si>
    <t>每超出1万元扣1分（满分10分）</t>
  </si>
  <si>
    <t>万元</t>
  </si>
  <si>
    <t>≤</t>
  </si>
  <si>
    <t>社会成本指标</t>
  </si>
  <si>
    <t>生态环境成本指标</t>
  </si>
  <si>
    <t>产出指标</t>
  </si>
  <si>
    <t>数量指标</t>
  </si>
  <si>
    <t>执法巡查次数</t>
  </si>
  <si>
    <t>4</t>
  </si>
  <si>
    <t>执法巡查次数每天4次</t>
  </si>
  <si>
    <t>每少1次扣5分（满分20分）</t>
  </si>
  <si>
    <t>次/天</t>
  </si>
  <si>
    <t>定量</t>
  </si>
  <si>
    <t>质量指标</t>
  </si>
  <si>
    <t>执法设备完好率</t>
  </si>
  <si>
    <t>80</t>
  </si>
  <si>
    <t>执法设备完好率达到80%以上</t>
  </si>
  <si>
    <t>每少1%扣1分（满分15分）</t>
  </si>
  <si>
    <t>%</t>
  </si>
  <si>
    <t>≥</t>
  </si>
  <si>
    <t>时效指标</t>
  </si>
  <si>
    <t>任务完成时间</t>
  </si>
  <si>
    <t>2026年12月31日前</t>
  </si>
  <si>
    <t>任务完成时间在2026年12月31日前</t>
  </si>
  <si>
    <t>每推迟5天扣1分（满分15分）</t>
  </si>
  <si>
    <t>-</t>
  </si>
  <si>
    <t>定性</t>
  </si>
  <si>
    <t xml:space="preserve">效益指标 </t>
  </si>
  <si>
    <t>经济效益指标</t>
  </si>
  <si>
    <t>社会效益指标</t>
  </si>
  <si>
    <t>执法行政投诉率</t>
  </si>
  <si>
    <t>20</t>
  </si>
  <si>
    <t>执法行政投诉率在20%以下</t>
  </si>
  <si>
    <t>每多1%扣1分（满分15分）</t>
  </si>
  <si>
    <t>生态效益指标</t>
  </si>
  <si>
    <t>有效保护生态平衡</t>
  </si>
  <si>
    <t>有效</t>
  </si>
  <si>
    <t>根据实际情况酌情扣分（满分15分)</t>
  </si>
  <si>
    <t>可持续影响指标</t>
  </si>
  <si>
    <t>满意度指标</t>
  </si>
  <si>
    <t>服务对象满意度指标</t>
  </si>
  <si>
    <t>群众满意度</t>
  </si>
  <si>
    <t>95</t>
  </si>
  <si>
    <t>群众满意度达到95%以上</t>
  </si>
  <si>
    <t>每少1%扣1分（满分10分）</t>
  </si>
  <si>
    <t xml:space="preserve">  2026年农产品质量安全检验检测</t>
  </si>
  <si>
    <t>成立农产品质量监管、检测队伍，健全监管长效机制，强化监测监控，依法保障农产品质量安全</t>
  </si>
  <si>
    <t>32</t>
  </si>
  <si>
    <t>预算控制在32万元内</t>
  </si>
  <si>
    <t>每超出1万元扣1分（满分15分）</t>
  </si>
  <si>
    <t>检验与检疫批次</t>
  </si>
  <si>
    <t>200</t>
  </si>
  <si>
    <t>检验与检疫批次达到200批以上</t>
  </si>
  <si>
    <t>每少5批扣1分（满分20分）</t>
  </si>
  <si>
    <t>批</t>
  </si>
  <si>
    <t>检验批次合格率</t>
  </si>
  <si>
    <t>90</t>
  </si>
  <si>
    <t>检验批次合格率达到90%以上</t>
  </si>
  <si>
    <t>每少1%扣1分（满分20分）</t>
  </si>
  <si>
    <t>检测业务增长率</t>
  </si>
  <si>
    <t>5</t>
  </si>
  <si>
    <t>检测业务增长率达到5%以上</t>
  </si>
  <si>
    <t>每少1%扣3分（满分15分）</t>
  </si>
  <si>
    <t>服务群体满意度</t>
  </si>
  <si>
    <t>服务群体满意度达到95%以上</t>
  </si>
  <si>
    <t xml:space="preserve">  2026年屠宰场驻场检疫经费</t>
  </si>
  <si>
    <t>确保屠宰过程中的生猪不携带疾病病原体，提供安全、卫生、优质的肉类产品给消费者。</t>
  </si>
  <si>
    <t>18</t>
  </si>
  <si>
    <t>预算控制在18万元内</t>
  </si>
  <si>
    <t xml:space="preserve">  2026年畜牧水产发展经费</t>
  </si>
  <si>
    <t>畜牧水产发展经费，推进全县畜牧业养殖发展</t>
  </si>
  <si>
    <t>79.00</t>
  </si>
  <si>
    <t>预算控制在79.00</t>
  </si>
  <si>
    <t>根据实际情况酌情扣分（满分15分）</t>
  </si>
  <si>
    <t>任务工作完成率</t>
  </si>
  <si>
    <t>100</t>
  </si>
  <si>
    <t>任务工作完成率达到100%</t>
  </si>
  <si>
    <t>根据实际情况酌情扣分（满分20分）</t>
  </si>
  <si>
    <t>任务工作达标率</t>
  </si>
  <si>
    <t>任务工作达标率达到100%</t>
  </si>
  <si>
    <t>畜牧水产发展水平（稳步提高）</t>
  </si>
  <si>
    <t>提高</t>
  </si>
  <si>
    <t>群众满意度达到95%</t>
  </si>
  <si>
    <t xml:space="preserve">  2026年重大动物疫病防控</t>
  </si>
  <si>
    <t>提高动物疫病防控水平，减少疫病发生率。保障畜牧业生产，提高养殖业经济效益。</t>
  </si>
  <si>
    <t>30</t>
  </si>
  <si>
    <t>预算控制在30万元以内</t>
  </si>
  <si>
    <t>疫苗种类</t>
  </si>
  <si>
    <t>3</t>
  </si>
  <si>
    <t>疫苗种类3种</t>
  </si>
  <si>
    <t>未达标不得分，达标得满分（满分10分）</t>
  </si>
  <si>
    <t>种</t>
  </si>
  <si>
    <t>疫苗总数量</t>
  </si>
  <si>
    <t>167</t>
  </si>
  <si>
    <t>疫苗总数量167万毫升</t>
  </si>
  <si>
    <t>万毫升</t>
  </si>
  <si>
    <t>疫苗达标率</t>
  </si>
  <si>
    <t>疫苗达标率在95%以上</t>
  </si>
  <si>
    <t>畜牧业发展水平（稳步提升）</t>
  </si>
  <si>
    <t>提升</t>
  </si>
  <si>
    <t>受益对象满意度</t>
  </si>
  <si>
    <t>受益对象满意度在95%以上</t>
  </si>
  <si>
    <t xml:space="preserve">  2026畜禽水产品检测</t>
  </si>
  <si>
    <t>完成本年度检测目标，完成农产品质量安全监测任务</t>
  </si>
  <si>
    <t>7</t>
  </si>
  <si>
    <t>预算控制在7万元内</t>
  </si>
  <si>
    <t>检验与检测批次</t>
  </si>
  <si>
    <t>检验批次合格率达到99%以上</t>
  </si>
  <si>
    <t>2024年12月31日前</t>
  </si>
  <si>
    <t>任务完成时间在2024年12月31日前</t>
  </si>
  <si>
    <t xml:space="preserve">  2026年动物检疫专项</t>
  </si>
  <si>
    <t>保障全县动物检疫工作的稳定开展，确保全县动物及动物产品检疫全覆盖</t>
  </si>
  <si>
    <t>动物及动物产品检疫检测费用</t>
  </si>
  <si>
    <t>24.5</t>
  </si>
  <si>
    <t>万元/年</t>
  </si>
  <si>
    <t>核心指标</t>
  </si>
  <si>
    <t>检疫检测次数</t>
  </si>
  <si>
    <t>次/年</t>
  </si>
  <si>
    <t>动物及动物产品检疫合格率</t>
  </si>
  <si>
    <t>检疫及时率</t>
  </si>
  <si>
    <t>动物及动物产品检疫覆盖率</t>
  </si>
  <si>
    <t>=</t>
  </si>
  <si>
    <t>无重大肉食品安全事故发生</t>
  </si>
  <si>
    <t>无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</si>
  <si>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</si>
  <si>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</si>
  <si>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</si>
  <si>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</si>
  <si>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</si>
  <si>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</si>
  <si>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</si>
  <si>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</si>
  <si>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</si>
  <si>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</si>
  <si>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</si>
  <si>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目标1：全面完成全年职能工作任务和县委县政府分配的其他各项工作任务，促进全县养殖业绿色健康发展	
目标2：全县养殖业生产社会效益，经济效益，生态效益，可持续影响和社会公众满意度达到预期目标</t>
  </si>
  <si>
    <t>338.11</t>
  </si>
  <si>
    <t>预算控制在338.11万元以内</t>
  </si>
  <si>
    <t>根据实际情况酌情扣分（满分10分）</t>
  </si>
  <si>
    <t>质量安全抽查覆盖率</t>
  </si>
  <si>
    <t>质量安全抽查覆盖率达到100%</t>
  </si>
  <si>
    <t>保障畜禽产品质量安全</t>
  </si>
  <si>
    <t>资金到位率</t>
  </si>
  <si>
    <t>资金到位率在95%以上</t>
  </si>
  <si>
    <t>带动养殖业经济增长</t>
  </si>
  <si>
    <t>重大产品安全事故发生率</t>
  </si>
  <si>
    <t>0</t>
  </si>
  <si>
    <t>重大产品安全事故发生率达到0%</t>
  </si>
  <si>
    <t>保护环境安全，食品安全，保证畜牧业可持续发展</t>
  </si>
  <si>
    <t>效益明显</t>
  </si>
  <si>
    <t>排泄物对环境无污染</t>
  </si>
  <si>
    <t>无污染</t>
  </si>
  <si>
    <t>420006</t>
  </si>
  <si>
    <t>岳阳县畜禽良种繁殖场</t>
  </si>
  <si>
    <t>目标1:全面完成全年职能工作任务和中心分配的其它各项工作任务，促进全县畜禽良种繁殖工作健康有序进行
目标2：全县畜禽良种繁殖社会效益、经济效益、生态效益、可持续影响和社会公众满意度达到预期目标</t>
  </si>
  <si>
    <t>152.05</t>
  </si>
  <si>
    <t>预算控制在136.6952万元</t>
  </si>
  <si>
    <t>畜禽品种改良实验数据</t>
  </si>
  <si>
    <t>1000</t>
  </si>
  <si>
    <t>次</t>
  </si>
  <si>
    <t>上级部门下达的研究课题完成率</t>
  </si>
  <si>
    <t>保障畜禽类产品质量安全</t>
  </si>
  <si>
    <t>种苗供应及时率</t>
  </si>
  <si>
    <t>种苗供应及时率达到100%</t>
  </si>
  <si>
    <t>对养殖业带来长远经济效益</t>
  </si>
  <si>
    <t>促进养殖业健康有序发展</t>
  </si>
  <si>
    <t>畜禽良种繁殖工作效率</t>
  </si>
  <si>
    <t>以往年的基础上有所提升</t>
  </si>
  <si>
    <t>畜禽良种繁殖污染率</t>
  </si>
  <si>
    <t>保护生态环境健康发展</t>
  </si>
  <si>
    <t>畜禽良种繁殖健康有序发展</t>
  </si>
  <si>
    <t>420005</t>
  </si>
  <si>
    <t>岳阳县乡镇渔政服务中心</t>
  </si>
  <si>
    <t>负责除东洞庭湖天然水域以外的渔政监督管理工作,有力打击非法捕捞行为，有效维护新墙河流域生态平衡</t>
  </si>
  <si>
    <t>68.34</t>
  </si>
  <si>
    <t>成本利润率</t>
  </si>
  <si>
    <t>98</t>
  </si>
  <si>
    <t>根据实际情况酌情扣分（满分5分）</t>
  </si>
  <si>
    <t>维护水流域生态环境</t>
  </si>
  <si>
    <t>促进</t>
  </si>
  <si>
    <t>完成巡查监管目标</t>
  </si>
  <si>
    <t>550</t>
  </si>
  <si>
    <t>巡查整改率</t>
  </si>
  <si>
    <t>支付及时率</t>
  </si>
  <si>
    <t>渔政监督管理工作效率</t>
  </si>
  <si>
    <t>水域生态平衡</t>
  </si>
  <si>
    <t>渔业健康有序发展</t>
  </si>
  <si>
    <t>维护水流域生态平衡</t>
  </si>
  <si>
    <t>社会公众满意度</t>
  </si>
  <si>
    <t>420008</t>
  </si>
  <si>
    <t>岳阳县农产品质量安全检测中心</t>
  </si>
  <si>
    <t>420007</t>
  </si>
  <si>
    <t>岳阳县养殖技术推广站</t>
  </si>
  <si>
    <t>420002</t>
  </si>
  <si>
    <t>岳阳县动物疫病预防控制中心（岳阳县动物卫生监督所）</t>
  </si>
  <si>
    <t>开展强制免疫效果评估与监测、家畜血吸虫病防治、防疫、实施动物及产品检疫与瘦肉精检测，发放管理检疫证章标志，承担动物及卫生监督人员培训考试考核工作。</t>
  </si>
  <si>
    <t>举办会议费用</t>
  </si>
  <si>
    <t>15000</t>
  </si>
  <si>
    <t>元</t>
  </si>
  <si>
    <t>春秋防检测率</t>
  </si>
  <si>
    <t>春秋防检查养殖户免疫合格率</t>
  </si>
  <si>
    <t>依法对重大动物疫情处置率</t>
  </si>
  <si>
    <t>春秋防检查抗体免疫合格率</t>
  </si>
  <si>
    <t>70</t>
  </si>
  <si>
    <t>重大动物疫情及时报告率</t>
  </si>
  <si>
    <t>资金使用重大违规违纪问题</t>
  </si>
  <si>
    <t>补助对象对项目实施满意率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</si>
</sst>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5">
    <font>
      <sz val="11"/>
      <color indexed="8"/>
      <name val="宋体"/>
      <charset val="134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0" applyNumberFormat="0" applyAlignment="0" applyProtection="0">
      <alignment vertical="center"/>
    </xf>
    <xf numFmtId="0" fontId="26" fillId="7" borderId="9" applyNumberFormat="0" applyAlignment="0" applyProtection="0">
      <alignment vertical="center"/>
    </xf>
    <xf numFmtId="0" fontId="27" fillId="8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4" fontId="5" fillId="0" borderId="2" xfId="0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1" fillId="0" borderId="1" xfId="0" applyFont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4" fontId="5" fillId="0" borderId="0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right" vertical="center" wrapText="1"/>
    </xf>
    <xf numFmtId="176" fontId="8" fillId="0" borderId="4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4" fontId="5" fillId="3" borderId="2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4" fontId="4" fillId="0" borderId="5" xfId="0" applyNumberFormat="1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4" fillId="0" borderId="4" xfId="0" applyNumberFormat="1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4" fontId="9" fillId="3" borderId="4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4" fontId="9" fillId="3" borderId="2" xfId="0" applyNumberFormat="1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4" fontId="5" fillId="4" borderId="2" xfId="0" applyNumberFormat="1" applyFont="1" applyFill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9.775" defaultRowHeight="14.25" outlineLevelRow="7"/>
  <cols>
    <col min="1" max="1" width="3.66666666666667" customWidth="1"/>
    <col min="2" max="2" width="3.775" customWidth="1"/>
    <col min="3" max="3" width="4.66666666666667" customWidth="1"/>
    <col min="4" max="4" width="19.2166666666667" customWidth="1"/>
    <col min="5" max="10" width="9.775" customWidth="1"/>
  </cols>
  <sheetData>
    <row r="1" ht="73.35" customHeight="1" spans="1:9">
      <c r="A1" s="106" t="s">
        <v>0</v>
      </c>
      <c r="B1" s="106"/>
      <c r="C1" s="106"/>
      <c r="D1" s="106"/>
      <c r="E1" s="106"/>
      <c r="F1" s="106"/>
      <c r="G1" s="106"/>
      <c r="H1" s="106"/>
      <c r="I1" s="106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6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" customHeight="1" spans="1:9">
      <c r="A4" s="107"/>
      <c r="B4" s="108"/>
      <c r="C4" s="1"/>
      <c r="D4" s="107" t="s">
        <v>1</v>
      </c>
      <c r="E4" s="108" t="s">
        <v>2</v>
      </c>
      <c r="F4" s="108"/>
      <c r="G4" s="108"/>
      <c r="H4" s="108"/>
      <c r="I4" s="1"/>
    </row>
    <row r="5" ht="54.3" customHeight="1" spans="1:9">
      <c r="A5" s="107"/>
      <c r="B5" s="108"/>
      <c r="C5" s="1"/>
      <c r="D5" s="107" t="s">
        <v>3</v>
      </c>
      <c r="E5" s="108" t="s">
        <v>4</v>
      </c>
      <c r="F5" s="108"/>
      <c r="G5" s="108"/>
      <c r="H5" s="108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pane ySplit="5" topLeftCell="A13" activePane="bottomLeft" state="frozen"/>
      <selection/>
      <selection pane="bottomLeft" activeCell="C6" sqref="C6:G28"/>
    </sheetView>
  </sheetViews>
  <sheetFormatPr defaultColWidth="9.775" defaultRowHeight="14.25" outlineLevelCol="6"/>
  <cols>
    <col min="1" max="1" width="15.8833333333333" customWidth="1"/>
    <col min="2" max="2" width="26.775" customWidth="1"/>
    <col min="3" max="3" width="14.6666666666667" customWidth="1"/>
    <col min="4" max="4" width="18.5583333333333" customWidth="1"/>
    <col min="5" max="5" width="16.4416666666667" customWidth="1"/>
  </cols>
  <sheetData>
    <row r="1" ht="18.9" customHeight="1" spans="1:5">
      <c r="A1" s="1"/>
      <c r="B1" s="1"/>
      <c r="C1" s="1"/>
      <c r="D1" s="1"/>
      <c r="E1" s="19" t="s">
        <v>333</v>
      </c>
    </row>
    <row r="2" ht="40.5" customHeight="1" spans="1:5">
      <c r="A2" s="21" t="s">
        <v>14</v>
      </c>
      <c r="B2" s="21"/>
      <c r="C2" s="21"/>
      <c r="D2" s="21"/>
      <c r="E2" s="21"/>
    </row>
    <row r="3" ht="20.7" customHeight="1" spans="1:5">
      <c r="A3" s="45" t="s">
        <v>31</v>
      </c>
      <c r="B3" s="45"/>
      <c r="C3" s="45"/>
      <c r="D3" s="45"/>
      <c r="E3" s="53" t="s">
        <v>334</v>
      </c>
    </row>
    <row r="4" ht="38.85" customHeight="1" spans="1:5">
      <c r="A4" s="4" t="s">
        <v>335</v>
      </c>
      <c r="B4" s="4"/>
      <c r="C4" s="4" t="s">
        <v>336</v>
      </c>
      <c r="D4" s="4"/>
      <c r="E4" s="4"/>
    </row>
    <row r="5" ht="22.8" customHeight="1" spans="1:5">
      <c r="A5" s="4" t="s">
        <v>337</v>
      </c>
      <c r="B5" s="4" t="s">
        <v>170</v>
      </c>
      <c r="C5" s="4" t="s">
        <v>136</v>
      </c>
      <c r="D5" s="4" t="s">
        <v>296</v>
      </c>
      <c r="E5" s="4" t="s">
        <v>297</v>
      </c>
    </row>
    <row r="6" ht="26.4" customHeight="1" spans="1:7">
      <c r="A6" s="14" t="s">
        <v>338</v>
      </c>
      <c r="B6" s="14" t="s">
        <v>273</v>
      </c>
      <c r="C6" s="46">
        <f>D6+E6</f>
        <v>677.63</v>
      </c>
      <c r="D6" s="46">
        <f>SUM(D7:D15)</f>
        <v>664.43</v>
      </c>
      <c r="E6" s="46">
        <f>SUM(E7:E15)</f>
        <v>13.2</v>
      </c>
      <c r="F6" s="36"/>
      <c r="G6" s="36"/>
    </row>
    <row r="7" ht="26.4" customHeight="1" spans="1:7">
      <c r="A7" s="47" t="s">
        <v>339</v>
      </c>
      <c r="B7" s="47" t="s">
        <v>340</v>
      </c>
      <c r="C7" s="46">
        <f>D7+E7</f>
        <v>66.37</v>
      </c>
      <c r="D7" s="48">
        <f>11.71+13.82+5.94+11.54+11.85+11.51</f>
        <v>66.37</v>
      </c>
      <c r="E7" s="48"/>
      <c r="F7" s="36"/>
      <c r="G7" s="36"/>
    </row>
    <row r="8" ht="26.4" customHeight="1" spans="1:7">
      <c r="A8" s="47" t="s">
        <v>341</v>
      </c>
      <c r="B8" s="47" t="s">
        <v>342</v>
      </c>
      <c r="C8" s="46">
        <f t="shared" ref="C6:C18" si="0">D8+E8</f>
        <v>3.4</v>
      </c>
      <c r="D8" s="48">
        <f>0.73+0.86+0.37+0.72+0.72</f>
        <v>3.4</v>
      </c>
      <c r="E8" s="48"/>
      <c r="F8" s="36"/>
      <c r="G8" s="36"/>
    </row>
    <row r="9" ht="26.4" customHeight="1" spans="1:7">
      <c r="A9" s="47" t="s">
        <v>343</v>
      </c>
      <c r="B9" s="47" t="s">
        <v>344</v>
      </c>
      <c r="C9" s="46">
        <f t="shared" si="0"/>
        <v>34.89</v>
      </c>
      <c r="D9" s="48">
        <f>6.22+7.34+3.15+5.93+6.13+6.12</f>
        <v>34.89</v>
      </c>
      <c r="E9" s="48"/>
      <c r="F9" s="36"/>
      <c r="G9" s="36"/>
    </row>
    <row r="10" ht="26.4" customHeight="1" spans="1:7">
      <c r="A10" s="47" t="s">
        <v>345</v>
      </c>
      <c r="B10" s="47" t="s">
        <v>346</v>
      </c>
      <c r="C10" s="46">
        <f t="shared" si="0"/>
        <v>4.1</v>
      </c>
      <c r="D10" s="48">
        <f>0.73+0.86+0.37+0.72+0.7+0.72</f>
        <v>4.1</v>
      </c>
      <c r="E10" s="48"/>
      <c r="F10" s="36"/>
      <c r="G10" s="36"/>
    </row>
    <row r="11" ht="26.4" customHeight="1" spans="1:7">
      <c r="A11" s="47" t="s">
        <v>347</v>
      </c>
      <c r="B11" s="47" t="s">
        <v>348</v>
      </c>
      <c r="C11" s="46">
        <f t="shared" si="0"/>
        <v>301.99</v>
      </c>
      <c r="D11" s="48">
        <f>239.41+49.38</f>
        <v>288.79</v>
      </c>
      <c r="E11" s="48">
        <f>13.2</f>
        <v>13.2</v>
      </c>
      <c r="F11" s="36"/>
      <c r="G11" s="36"/>
    </row>
    <row r="12" ht="26.4" customHeight="1" spans="1:7">
      <c r="A12" s="47" t="s">
        <v>349</v>
      </c>
      <c r="B12" s="47" t="s">
        <v>350</v>
      </c>
      <c r="C12" s="46">
        <f t="shared" si="0"/>
        <v>71.47</v>
      </c>
      <c r="D12" s="48">
        <f>15.41+17.97+7.54+15.14+15.41</f>
        <v>71.47</v>
      </c>
      <c r="E12" s="48"/>
      <c r="F12" s="36"/>
      <c r="G12" s="36"/>
    </row>
    <row r="13" ht="26.4" customHeight="1" spans="1:7">
      <c r="A13" s="47" t="s">
        <v>351</v>
      </c>
      <c r="B13" s="47" t="s">
        <v>352</v>
      </c>
      <c r="C13" s="46">
        <f t="shared" si="0"/>
        <v>39.88</v>
      </c>
      <c r="D13" s="48">
        <f>23.3+0.07+0.11+16.18+0.18+0.04</f>
        <v>39.88</v>
      </c>
      <c r="E13" s="48"/>
      <c r="F13" s="36"/>
      <c r="G13" s="36"/>
    </row>
    <row r="14" ht="26.4" customHeight="1" spans="1:7">
      <c r="A14" s="49" t="s">
        <v>353</v>
      </c>
      <c r="B14" s="49" t="s">
        <v>354</v>
      </c>
      <c r="C14" s="46">
        <f t="shared" si="0"/>
        <v>106.28</v>
      </c>
      <c r="D14" s="50">
        <f>25.74+10.92+24.72+22.32+22.58</f>
        <v>106.28</v>
      </c>
      <c r="E14" s="50"/>
      <c r="F14" s="20"/>
      <c r="G14" s="36"/>
    </row>
    <row r="15" ht="26.4" customHeight="1" spans="1:7">
      <c r="A15" s="47" t="s">
        <v>355</v>
      </c>
      <c r="B15" s="47" t="s">
        <v>356</v>
      </c>
      <c r="C15" s="46">
        <f t="shared" si="0"/>
        <v>49.25</v>
      </c>
      <c r="D15" s="48">
        <f>8.79+10.36+4.46+8.65+8.37+8.62</f>
        <v>49.25</v>
      </c>
      <c r="E15" s="48"/>
      <c r="F15" s="36"/>
      <c r="G15" s="36"/>
    </row>
    <row r="16" ht="26.4" customHeight="1" spans="1:7">
      <c r="A16" s="14" t="s">
        <v>357</v>
      </c>
      <c r="B16" s="14" t="s">
        <v>358</v>
      </c>
      <c r="C16" s="46">
        <f t="shared" si="0"/>
        <v>85.42</v>
      </c>
      <c r="D16" s="46"/>
      <c r="E16" s="46">
        <f>SUM(E17:E26)</f>
        <v>85.42</v>
      </c>
      <c r="F16" s="36"/>
      <c r="G16" s="36"/>
    </row>
    <row r="17" ht="26.4" customHeight="1" spans="1:7">
      <c r="A17" s="47" t="s">
        <v>359</v>
      </c>
      <c r="B17" s="47" t="s">
        <v>360</v>
      </c>
      <c r="C17" s="46">
        <f t="shared" si="0"/>
        <v>4.2</v>
      </c>
      <c r="D17" s="48"/>
      <c r="E17" s="48">
        <f>2.2+1.2+0.8</f>
        <v>4.2</v>
      </c>
      <c r="F17" s="36"/>
      <c r="G17" s="36"/>
    </row>
    <row r="18" ht="26.4" customHeight="1" spans="1:7">
      <c r="A18" s="47" t="s">
        <v>361</v>
      </c>
      <c r="B18" s="47" t="s">
        <v>362</v>
      </c>
      <c r="C18" s="46">
        <f t="shared" si="0"/>
        <v>15.4</v>
      </c>
      <c r="D18" s="48"/>
      <c r="E18" s="48">
        <f>3+10.4+2</f>
        <v>15.4</v>
      </c>
      <c r="F18" s="36"/>
      <c r="G18" s="36"/>
    </row>
    <row r="19" ht="26.4" customHeight="1" spans="1:7">
      <c r="A19" s="49" t="s">
        <v>363</v>
      </c>
      <c r="B19" s="49" t="s">
        <v>364</v>
      </c>
      <c r="C19" s="50">
        <v>2</v>
      </c>
      <c r="D19" s="50"/>
      <c r="E19" s="50">
        <v>2</v>
      </c>
      <c r="F19" s="36"/>
      <c r="G19" s="36"/>
    </row>
    <row r="20" ht="26.4" customHeight="1" spans="1:7">
      <c r="A20" s="47" t="s">
        <v>365</v>
      </c>
      <c r="B20" s="47" t="s">
        <v>366</v>
      </c>
      <c r="C20" s="46">
        <f t="shared" ref="C20:C26" si="1">D20+E20</f>
        <v>2.8</v>
      </c>
      <c r="D20" s="48"/>
      <c r="E20" s="48">
        <v>2.8</v>
      </c>
      <c r="F20" s="36"/>
      <c r="G20" s="36"/>
    </row>
    <row r="21" ht="26.4" customHeight="1" spans="1:7">
      <c r="A21" s="49" t="s">
        <v>367</v>
      </c>
      <c r="B21" s="49" t="s">
        <v>368</v>
      </c>
      <c r="C21" s="46">
        <f t="shared" si="1"/>
        <v>2</v>
      </c>
      <c r="D21" s="48"/>
      <c r="E21" s="48">
        <f>1+1</f>
        <v>2</v>
      </c>
      <c r="F21" s="36"/>
      <c r="G21" s="36"/>
    </row>
    <row r="22" ht="26.4" customHeight="1" spans="1:7">
      <c r="A22" s="47" t="s">
        <v>369</v>
      </c>
      <c r="B22" s="47" t="s">
        <v>370</v>
      </c>
      <c r="C22" s="46">
        <f t="shared" si="1"/>
        <v>22.12</v>
      </c>
      <c r="D22" s="48"/>
      <c r="E22" s="48">
        <f>8.2+6.9+7.02</f>
        <v>22.12</v>
      </c>
      <c r="F22" s="36"/>
      <c r="G22" s="36"/>
    </row>
    <row r="23" ht="26.4" customHeight="1" spans="1:7">
      <c r="A23" s="47" t="s">
        <v>371</v>
      </c>
      <c r="B23" s="47" t="s">
        <v>372</v>
      </c>
      <c r="C23" s="46">
        <f t="shared" si="1"/>
        <v>5.2</v>
      </c>
      <c r="D23" s="48"/>
      <c r="E23" s="48">
        <f>2.2+1+2</f>
        <v>5.2</v>
      </c>
      <c r="F23" s="36"/>
      <c r="G23" s="36"/>
    </row>
    <row r="24" ht="26.4" customHeight="1" spans="1:7">
      <c r="A24" s="47" t="s">
        <v>373</v>
      </c>
      <c r="B24" s="47" t="s">
        <v>374</v>
      </c>
      <c r="C24" s="46">
        <f t="shared" si="1"/>
        <v>3.8</v>
      </c>
      <c r="D24" s="48"/>
      <c r="E24" s="48">
        <f>1.8+1+1</f>
        <v>3.8</v>
      </c>
      <c r="F24" s="36"/>
      <c r="G24" s="36"/>
    </row>
    <row r="25" ht="26.4" customHeight="1" spans="1:7">
      <c r="A25" s="49" t="s">
        <v>359</v>
      </c>
      <c r="B25" s="49" t="s">
        <v>360</v>
      </c>
      <c r="C25" s="46">
        <f t="shared" si="1"/>
        <v>4</v>
      </c>
      <c r="D25" s="50"/>
      <c r="E25" s="50">
        <f>2+1.2+0.8</f>
        <v>4</v>
      </c>
      <c r="F25" s="36"/>
      <c r="G25" s="36"/>
    </row>
    <row r="26" ht="22.8" customHeight="1" spans="1:7">
      <c r="A26" s="49" t="s">
        <v>375</v>
      </c>
      <c r="B26" s="49" t="s">
        <v>376</v>
      </c>
      <c r="C26" s="46">
        <f t="shared" si="1"/>
        <v>23.9</v>
      </c>
      <c r="D26" s="51"/>
      <c r="E26" s="51">
        <f>23.9</f>
        <v>23.9</v>
      </c>
      <c r="F26" s="36"/>
      <c r="G26" s="36"/>
    </row>
    <row r="27" ht="22.8" customHeight="1" spans="1:7">
      <c r="A27" s="22" t="s">
        <v>136</v>
      </c>
      <c r="B27" s="22"/>
      <c r="C27" s="46">
        <f>C6+C16</f>
        <v>763.05</v>
      </c>
      <c r="D27" s="46">
        <f>D6+D16</f>
        <v>664.43</v>
      </c>
      <c r="E27" s="46">
        <f>E6+E16</f>
        <v>98.62</v>
      </c>
      <c r="F27" s="36"/>
      <c r="G27" s="36"/>
    </row>
    <row r="28" ht="16.35" customHeight="1" spans="1:7">
      <c r="A28" s="25" t="s">
        <v>332</v>
      </c>
      <c r="B28" s="25"/>
      <c r="C28" s="52"/>
      <c r="D28" s="52"/>
      <c r="E28" s="52"/>
      <c r="F28" s="36"/>
      <c r="G28" s="36"/>
    </row>
  </sheetData>
  <mergeCells count="6">
    <mergeCell ref="A2:E2"/>
    <mergeCell ref="A3:D3"/>
    <mergeCell ref="A4:B4"/>
    <mergeCell ref="C4:E4"/>
    <mergeCell ref="A27:B27"/>
    <mergeCell ref="A28:B28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zoomScale="85" zoomScaleNormal="85" topLeftCell="D1" workbookViewId="0">
      <selection activeCell="F9" sqref="F9:M21"/>
    </sheetView>
  </sheetViews>
  <sheetFormatPr defaultColWidth="9.775" defaultRowHeight="14.25"/>
  <cols>
    <col min="1" max="1" width="4.33333333333333" customWidth="1"/>
    <col min="2" max="2" width="4.775" customWidth="1"/>
    <col min="3" max="3" width="5.44166666666667" customWidth="1"/>
    <col min="4" max="4" width="9.66666666666667" customWidth="1"/>
    <col min="5" max="5" width="21.3333333333333" customWidth="1"/>
    <col min="6" max="6" width="13.4416666666667" customWidth="1"/>
    <col min="7" max="7" width="12.4416666666667" customWidth="1"/>
    <col min="8" max="9" width="10.2166666666667" customWidth="1"/>
    <col min="10" max="10" width="9.10833333333333" customWidth="1"/>
    <col min="11" max="11" width="10.2166666666667" customWidth="1"/>
    <col min="12" max="12" width="12.4416666666667" customWidth="1"/>
    <col min="13" max="13" width="9.66666666666667" customWidth="1"/>
    <col min="14" max="14" width="9.88333333333333" customWidth="1"/>
    <col min="15" max="15" width="9.775" customWidth="1"/>
  </cols>
  <sheetData>
    <row r="1" ht="16.35" customHeight="1" spans="1:14">
      <c r="A1" s="1"/>
      <c r="M1" s="19" t="s">
        <v>377</v>
      </c>
      <c r="N1" s="19"/>
    </row>
    <row r="2" ht="44.85" customHeight="1" spans="1:14">
      <c r="A2" s="21" t="s">
        <v>15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0.7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32</v>
      </c>
      <c r="N3" s="11"/>
    </row>
    <row r="4" ht="42.3" customHeight="1" spans="1:14">
      <c r="A4" s="4" t="s">
        <v>168</v>
      </c>
      <c r="B4" s="4"/>
      <c r="C4" s="4"/>
      <c r="D4" s="4" t="s">
        <v>243</v>
      </c>
      <c r="E4" s="4" t="s">
        <v>244</v>
      </c>
      <c r="F4" s="4" t="s">
        <v>272</v>
      </c>
      <c r="G4" s="4" t="s">
        <v>246</v>
      </c>
      <c r="H4" s="4"/>
      <c r="I4" s="4"/>
      <c r="J4" s="4"/>
      <c r="K4" s="4"/>
      <c r="L4" s="4" t="s">
        <v>250</v>
      </c>
      <c r="M4" s="4"/>
      <c r="N4" s="4"/>
    </row>
    <row r="5" ht="39.6" customHeight="1" spans="1:14">
      <c r="A5" s="4" t="s">
        <v>176</v>
      </c>
      <c r="B5" s="4" t="s">
        <v>177</v>
      </c>
      <c r="C5" s="4" t="s">
        <v>178</v>
      </c>
      <c r="D5" s="4"/>
      <c r="E5" s="4"/>
      <c r="F5" s="4"/>
      <c r="G5" s="4" t="s">
        <v>136</v>
      </c>
      <c r="H5" s="4" t="s">
        <v>378</v>
      </c>
      <c r="I5" s="4" t="s">
        <v>379</v>
      </c>
      <c r="J5" s="4" t="s">
        <v>380</v>
      </c>
      <c r="K5" s="4" t="s">
        <v>381</v>
      </c>
      <c r="L5" s="4" t="s">
        <v>136</v>
      </c>
      <c r="M5" s="4" t="s">
        <v>273</v>
      </c>
      <c r="N5" s="4" t="s">
        <v>382</v>
      </c>
    </row>
    <row r="6" ht="22.8" customHeight="1" spans="1:14">
      <c r="A6" s="16"/>
      <c r="B6" s="16"/>
      <c r="C6" s="16"/>
      <c r="D6" s="16"/>
      <c r="E6" s="16" t="s">
        <v>136</v>
      </c>
      <c r="F6" s="43">
        <f t="shared" ref="F6:N6" si="0">F7</f>
        <v>664.4311</v>
      </c>
      <c r="G6" s="43">
        <f t="shared" si="0"/>
        <v>313.6</v>
      </c>
      <c r="H6" s="43">
        <f t="shared" si="0"/>
        <v>237.89</v>
      </c>
      <c r="I6" s="43">
        <f t="shared" si="0"/>
        <v>52.1</v>
      </c>
      <c r="J6" s="43">
        <f t="shared" si="0"/>
        <v>23.61</v>
      </c>
      <c r="K6" s="43">
        <f t="shared" si="0"/>
        <v>0</v>
      </c>
      <c r="L6" s="43">
        <f t="shared" si="0"/>
        <v>350.8311</v>
      </c>
      <c r="M6" s="43">
        <f t="shared" si="0"/>
        <v>350.8311</v>
      </c>
      <c r="N6" s="43">
        <f t="shared" si="0"/>
        <v>0</v>
      </c>
    </row>
    <row r="7" ht="22.8" customHeight="1" spans="1:14">
      <c r="A7" s="16"/>
      <c r="B7" s="16"/>
      <c r="C7" s="16"/>
      <c r="D7" s="14" t="s">
        <v>154</v>
      </c>
      <c r="E7" s="14" t="s">
        <v>4</v>
      </c>
      <c r="F7" s="43">
        <f>F8</f>
        <v>664.4311</v>
      </c>
      <c r="G7" s="43">
        <f t="shared" ref="G7:N7" si="1">G8</f>
        <v>313.6</v>
      </c>
      <c r="H7" s="43">
        <f t="shared" si="1"/>
        <v>237.89</v>
      </c>
      <c r="I7" s="43">
        <f t="shared" si="1"/>
        <v>52.1</v>
      </c>
      <c r="J7" s="43">
        <f t="shared" si="1"/>
        <v>23.61</v>
      </c>
      <c r="K7" s="43">
        <f t="shared" si="1"/>
        <v>0</v>
      </c>
      <c r="L7" s="43">
        <f t="shared" si="1"/>
        <v>350.8311</v>
      </c>
      <c r="M7" s="43">
        <f t="shared" si="1"/>
        <v>350.8311</v>
      </c>
      <c r="N7" s="43">
        <f t="shared" si="1"/>
        <v>0</v>
      </c>
    </row>
    <row r="8" ht="22.8" customHeight="1" spans="1:14">
      <c r="A8" s="16"/>
      <c r="B8" s="16"/>
      <c r="C8" s="16"/>
      <c r="D8" s="26" t="s">
        <v>155</v>
      </c>
      <c r="E8" s="26" t="s">
        <v>156</v>
      </c>
      <c r="F8" s="43">
        <f>G8+L8</f>
        <v>664.4311</v>
      </c>
      <c r="G8" s="43">
        <f>SUM(H8:K8)</f>
        <v>313.6</v>
      </c>
      <c r="H8" s="43">
        <f>SUM(H9:H19)</f>
        <v>237.89</v>
      </c>
      <c r="I8" s="43">
        <f t="shared" ref="I8:N8" si="2">SUM(I9:I19)</f>
        <v>52.1</v>
      </c>
      <c r="J8" s="43">
        <f t="shared" si="2"/>
        <v>23.61</v>
      </c>
      <c r="K8" s="43">
        <f t="shared" si="2"/>
        <v>0</v>
      </c>
      <c r="L8" s="43">
        <f t="shared" si="2"/>
        <v>350.8311</v>
      </c>
      <c r="M8" s="43">
        <f t="shared" si="2"/>
        <v>350.8311</v>
      </c>
      <c r="N8" s="43">
        <f t="shared" si="2"/>
        <v>0</v>
      </c>
    </row>
    <row r="9" s="20" customFormat="1" ht="19.9" customHeight="1" spans="1:14">
      <c r="A9" s="38" t="s">
        <v>180</v>
      </c>
      <c r="B9" s="38" t="s">
        <v>183</v>
      </c>
      <c r="C9" s="38" t="s">
        <v>186</v>
      </c>
      <c r="D9" s="24" t="s">
        <v>260</v>
      </c>
      <c r="E9" s="7" t="s">
        <v>261</v>
      </c>
      <c r="F9" s="8">
        <v>22.5816</v>
      </c>
      <c r="G9" s="8"/>
      <c r="H9" s="40"/>
      <c r="I9" s="40"/>
      <c r="J9" s="40"/>
      <c r="K9" s="40"/>
      <c r="L9" s="8">
        <v>22.5816</v>
      </c>
      <c r="M9" s="40">
        <v>22.5816</v>
      </c>
      <c r="N9" s="40"/>
    </row>
    <row r="10" s="20" customFormat="1" ht="19.9" customHeight="1" spans="1:14">
      <c r="A10" s="38" t="s">
        <v>180</v>
      </c>
      <c r="B10" s="38" t="s">
        <v>189</v>
      </c>
      <c r="C10" s="38" t="s">
        <v>186</v>
      </c>
      <c r="D10" s="24" t="s">
        <v>260</v>
      </c>
      <c r="E10" s="7" t="s">
        <v>261</v>
      </c>
      <c r="F10" s="8">
        <v>0.036</v>
      </c>
      <c r="G10" s="8"/>
      <c r="H10" s="40"/>
      <c r="I10" s="40"/>
      <c r="J10" s="40"/>
      <c r="K10" s="40"/>
      <c r="L10" s="8">
        <v>0.036</v>
      </c>
      <c r="M10" s="40">
        <v>0.036</v>
      </c>
      <c r="N10" s="40"/>
    </row>
    <row r="11" s="20" customFormat="1" ht="19.9" customHeight="1" spans="1:14">
      <c r="A11" s="38" t="s">
        <v>193</v>
      </c>
      <c r="B11" s="38" t="s">
        <v>196</v>
      </c>
      <c r="C11" s="38" t="s">
        <v>186</v>
      </c>
      <c r="D11" s="24" t="s">
        <v>260</v>
      </c>
      <c r="E11" s="7" t="s">
        <v>261</v>
      </c>
      <c r="F11" s="8">
        <v>64.7835</v>
      </c>
      <c r="G11" s="8"/>
      <c r="H11" s="40"/>
      <c r="I11" s="40"/>
      <c r="J11" s="40"/>
      <c r="K11" s="40"/>
      <c r="L11" s="8">
        <v>64.7835</v>
      </c>
      <c r="M11" s="40">
        <v>64.7835</v>
      </c>
      <c r="N11" s="40"/>
    </row>
    <row r="12" ht="22.8" customHeight="1" spans="1:14">
      <c r="A12" s="29" t="s">
        <v>193</v>
      </c>
      <c r="B12" s="29" t="s">
        <v>200</v>
      </c>
      <c r="C12" s="29" t="s">
        <v>200</v>
      </c>
      <c r="D12" s="23" t="s">
        <v>262</v>
      </c>
      <c r="E12" s="5" t="s">
        <v>263</v>
      </c>
      <c r="F12" s="39">
        <f>G12+L12</f>
        <v>65.68</v>
      </c>
      <c r="G12" s="39">
        <f t="shared" ref="G12:G19" si="3">SUM(H12:K12)</f>
        <v>31.47</v>
      </c>
      <c r="H12" s="35"/>
      <c r="I12" s="35">
        <f>11.71+13.82+5.94</f>
        <v>31.47</v>
      </c>
      <c r="J12" s="35"/>
      <c r="K12" s="35"/>
      <c r="L12" s="34">
        <f>M12+N12</f>
        <v>34.21</v>
      </c>
      <c r="M12" s="35">
        <f>22.7+11.51</f>
        <v>34.21</v>
      </c>
      <c r="N12" s="27"/>
    </row>
    <row r="13" ht="22.8" customHeight="1" spans="1:14">
      <c r="A13" s="29" t="s">
        <v>193</v>
      </c>
      <c r="B13" s="29" t="s">
        <v>205</v>
      </c>
      <c r="C13" s="29" t="s">
        <v>205</v>
      </c>
      <c r="D13" s="23" t="s">
        <v>262</v>
      </c>
      <c r="E13" s="5" t="s">
        <v>264</v>
      </c>
      <c r="F13" s="39">
        <f t="shared" ref="F12:F19" si="4">G13+L13</f>
        <v>4.1</v>
      </c>
      <c r="G13" s="39">
        <f t="shared" si="3"/>
        <v>1.96</v>
      </c>
      <c r="H13" s="35"/>
      <c r="I13" s="35">
        <f>0.73+0.86+0.37</f>
        <v>1.96</v>
      </c>
      <c r="J13" s="35"/>
      <c r="K13" s="35"/>
      <c r="L13" s="34">
        <f t="shared" ref="L13:L19" si="5">M13+N13</f>
        <v>2.14</v>
      </c>
      <c r="M13" s="35">
        <f>0.72+0.7+0.72</f>
        <v>2.14</v>
      </c>
      <c r="N13" s="27"/>
    </row>
    <row r="14" ht="22.8" customHeight="1" spans="1:14">
      <c r="A14" s="29" t="s">
        <v>210</v>
      </c>
      <c r="B14" s="29" t="s">
        <v>213</v>
      </c>
      <c r="C14" s="29" t="s">
        <v>196</v>
      </c>
      <c r="D14" s="23" t="s">
        <v>262</v>
      </c>
      <c r="E14" s="5" t="s">
        <v>265</v>
      </c>
      <c r="F14" s="39">
        <f t="shared" si="4"/>
        <v>13.56</v>
      </c>
      <c r="G14" s="39">
        <f t="shared" si="3"/>
        <v>13.56</v>
      </c>
      <c r="H14" s="35"/>
      <c r="I14" s="35">
        <f>6.22+7.34</f>
        <v>13.56</v>
      </c>
      <c r="J14" s="35"/>
      <c r="K14" s="35"/>
      <c r="L14" s="34">
        <f t="shared" si="5"/>
        <v>0</v>
      </c>
      <c r="M14" s="35"/>
      <c r="N14" s="27"/>
    </row>
    <row r="15" s="20" customFormat="1" ht="22.9" customHeight="1" spans="1:14">
      <c r="A15" s="38" t="s">
        <v>210</v>
      </c>
      <c r="B15" s="38" t="s">
        <v>213</v>
      </c>
      <c r="C15" s="38" t="s">
        <v>218</v>
      </c>
      <c r="D15" s="23" t="s">
        <v>262</v>
      </c>
      <c r="E15" s="7" t="s">
        <v>266</v>
      </c>
      <c r="F15" s="39">
        <f t="shared" si="4"/>
        <v>15.2</v>
      </c>
      <c r="G15" s="39">
        <f t="shared" si="3"/>
        <v>3.15</v>
      </c>
      <c r="H15" s="40"/>
      <c r="I15" s="40">
        <f>3.15</f>
        <v>3.15</v>
      </c>
      <c r="J15" s="40"/>
      <c r="K15" s="40"/>
      <c r="L15" s="34">
        <f t="shared" si="5"/>
        <v>12.05</v>
      </c>
      <c r="M15" s="40">
        <f>5.93+6.12</f>
        <v>12.05</v>
      </c>
      <c r="N15" s="40"/>
    </row>
    <row r="16" ht="22.8" customHeight="1" spans="1:14">
      <c r="A16" s="29" t="s">
        <v>210</v>
      </c>
      <c r="B16" s="29" t="s">
        <v>213</v>
      </c>
      <c r="C16" s="29" t="s">
        <v>221</v>
      </c>
      <c r="D16" s="23" t="s">
        <v>262</v>
      </c>
      <c r="E16" s="5" t="s">
        <v>267</v>
      </c>
      <c r="F16" s="39">
        <f t="shared" si="4"/>
        <v>3.38</v>
      </c>
      <c r="G16" s="39">
        <f t="shared" si="3"/>
        <v>1.96</v>
      </c>
      <c r="H16" s="35"/>
      <c r="I16" s="35">
        <f>0.73+0.86+0.37</f>
        <v>1.96</v>
      </c>
      <c r="J16" s="35"/>
      <c r="K16" s="35"/>
      <c r="L16" s="34">
        <f t="shared" si="5"/>
        <v>1.42</v>
      </c>
      <c r="M16" s="35">
        <f>0.7+0.72</f>
        <v>1.42</v>
      </c>
      <c r="N16" s="27"/>
    </row>
    <row r="17" ht="22.8" customHeight="1" spans="1:14">
      <c r="A17" s="29" t="s">
        <v>224</v>
      </c>
      <c r="B17" s="29" t="s">
        <v>196</v>
      </c>
      <c r="C17" s="29" t="s">
        <v>196</v>
      </c>
      <c r="D17" s="23" t="s">
        <v>262</v>
      </c>
      <c r="E17" s="5" t="s">
        <v>268</v>
      </c>
      <c r="F17" s="39">
        <f t="shared" si="4"/>
        <v>88.74</v>
      </c>
      <c r="G17" s="39">
        <f t="shared" si="3"/>
        <v>88.74</v>
      </c>
      <c r="H17" s="35">
        <f>88.74</f>
        <v>88.74</v>
      </c>
      <c r="I17" s="35"/>
      <c r="J17" s="35"/>
      <c r="K17" s="35"/>
      <c r="L17" s="34">
        <f t="shared" si="5"/>
        <v>0</v>
      </c>
      <c r="M17" s="35"/>
      <c r="N17" s="27"/>
    </row>
    <row r="18" ht="22.8" customHeight="1" spans="1:14">
      <c r="A18" s="38" t="s">
        <v>224</v>
      </c>
      <c r="B18" s="38" t="s">
        <v>196</v>
      </c>
      <c r="C18" s="38" t="s">
        <v>231</v>
      </c>
      <c r="D18" s="23" t="s">
        <v>262</v>
      </c>
      <c r="E18" s="7" t="s">
        <v>261</v>
      </c>
      <c r="F18" s="39">
        <f t="shared" si="4"/>
        <v>337.11</v>
      </c>
      <c r="G18" s="39">
        <f t="shared" si="3"/>
        <v>149.15</v>
      </c>
      <c r="H18" s="40">
        <f>104.4+44.75</f>
        <v>149.15</v>
      </c>
      <c r="I18" s="40"/>
      <c r="J18" s="40"/>
      <c r="K18" s="40"/>
      <c r="L18" s="34">
        <f t="shared" si="5"/>
        <v>187.96</v>
      </c>
      <c r="M18" s="40">
        <f>187.96</f>
        <v>187.96</v>
      </c>
      <c r="N18" s="40"/>
    </row>
    <row r="19" ht="22.8" customHeight="1" spans="1:14">
      <c r="A19" s="29" t="s">
        <v>235</v>
      </c>
      <c r="B19" s="29" t="s">
        <v>218</v>
      </c>
      <c r="C19" s="29" t="s">
        <v>196</v>
      </c>
      <c r="D19" s="23" t="s">
        <v>262</v>
      </c>
      <c r="E19" s="5" t="s">
        <v>270</v>
      </c>
      <c r="F19" s="39">
        <f t="shared" si="4"/>
        <v>49.26</v>
      </c>
      <c r="G19" s="39">
        <f t="shared" si="3"/>
        <v>23.61</v>
      </c>
      <c r="H19" s="35"/>
      <c r="I19" s="35"/>
      <c r="J19" s="35">
        <f>19.15+4.46</f>
        <v>23.61</v>
      </c>
      <c r="K19" s="35"/>
      <c r="L19" s="34">
        <f t="shared" si="5"/>
        <v>25.65</v>
      </c>
      <c r="M19" s="35">
        <f>8.65+8.37+8.63</f>
        <v>25.65</v>
      </c>
      <c r="N19" s="27"/>
    </row>
    <row r="20" ht="16.35" customHeight="1" spans="1:13">
      <c r="A20" s="25" t="s">
        <v>332</v>
      </c>
      <c r="B20" s="25"/>
      <c r="C20" s="25"/>
      <c r="D20" s="25"/>
      <c r="E20" s="25"/>
      <c r="F20" s="36"/>
      <c r="G20" s="36"/>
      <c r="H20" s="36"/>
      <c r="I20" s="36"/>
      <c r="J20" s="36"/>
      <c r="K20" s="36"/>
      <c r="L20" s="36"/>
      <c r="M20" s="36"/>
    </row>
    <row r="21" spans="6:13">
      <c r="F21" s="36"/>
      <c r="G21" s="36"/>
      <c r="H21" s="36"/>
      <c r="I21" s="36"/>
      <c r="J21" s="36"/>
      <c r="K21" s="36"/>
      <c r="L21" s="36"/>
      <c r="M21" s="36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0:E2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F8" sqref="F8:R20"/>
    </sheetView>
  </sheetViews>
  <sheetFormatPr defaultColWidth="9.775" defaultRowHeight="14.25"/>
  <cols>
    <col min="1" max="1" width="4.21666666666667" customWidth="1"/>
    <col min="2" max="2" width="4.44166666666667" customWidth="1"/>
    <col min="3" max="3" width="4.66666666666667" customWidth="1"/>
    <col min="4" max="4" width="8" customWidth="1"/>
    <col min="5" max="5" width="20.1083333333333" customWidth="1"/>
    <col min="6" max="6" width="14" customWidth="1"/>
    <col min="7" max="12" width="7.66666666666667" customWidth="1"/>
    <col min="13" max="13" width="8.21666666666667" customWidth="1"/>
    <col min="14" max="22" width="7.66666666666667" customWidth="1"/>
    <col min="23" max="23" width="9.775" customWidth="1"/>
  </cols>
  <sheetData>
    <row r="1" ht="16.35" customHeight="1" spans="1:22">
      <c r="A1" s="1"/>
      <c r="U1" s="19" t="s">
        <v>383</v>
      </c>
      <c r="V1" s="19"/>
    </row>
    <row r="2" ht="49.95" customHeight="1" spans="1:22">
      <c r="A2" s="12" t="s">
        <v>16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1" t="s">
        <v>32</v>
      </c>
      <c r="V3" s="11"/>
    </row>
    <row r="4" ht="26.7" customHeight="1" spans="1:22">
      <c r="A4" s="4" t="s">
        <v>168</v>
      </c>
      <c r="B4" s="4"/>
      <c r="C4" s="4"/>
      <c r="D4" s="4" t="s">
        <v>243</v>
      </c>
      <c r="E4" s="4" t="s">
        <v>244</v>
      </c>
      <c r="F4" s="4" t="s">
        <v>272</v>
      </c>
      <c r="G4" s="4" t="s">
        <v>384</v>
      </c>
      <c r="H4" s="4"/>
      <c r="I4" s="4"/>
      <c r="J4" s="4"/>
      <c r="K4" s="4"/>
      <c r="L4" s="4" t="s">
        <v>385</v>
      </c>
      <c r="M4" s="4"/>
      <c r="N4" s="4"/>
      <c r="O4" s="4"/>
      <c r="P4" s="4"/>
      <c r="Q4" s="4"/>
      <c r="R4" s="4" t="s">
        <v>380</v>
      </c>
      <c r="S4" s="4" t="s">
        <v>386</v>
      </c>
      <c r="T4" s="4"/>
      <c r="U4" s="4"/>
      <c r="V4" s="4"/>
    </row>
    <row r="5" ht="41.4" customHeight="1" spans="1:22">
      <c r="A5" s="4" t="s">
        <v>176</v>
      </c>
      <c r="B5" s="4" t="s">
        <v>177</v>
      </c>
      <c r="C5" s="4" t="s">
        <v>178</v>
      </c>
      <c r="D5" s="4"/>
      <c r="E5" s="4"/>
      <c r="F5" s="4"/>
      <c r="G5" s="4" t="s">
        <v>136</v>
      </c>
      <c r="H5" s="4" t="s">
        <v>387</v>
      </c>
      <c r="I5" s="4" t="s">
        <v>388</v>
      </c>
      <c r="J5" s="4" t="s">
        <v>389</v>
      </c>
      <c r="K5" s="4" t="s">
        <v>390</v>
      </c>
      <c r="L5" s="4" t="s">
        <v>136</v>
      </c>
      <c r="M5" s="4" t="s">
        <v>391</v>
      </c>
      <c r="N5" s="4" t="s">
        <v>392</v>
      </c>
      <c r="O5" s="4" t="s">
        <v>393</v>
      </c>
      <c r="P5" s="4" t="s">
        <v>394</v>
      </c>
      <c r="Q5" s="4" t="s">
        <v>395</v>
      </c>
      <c r="R5" s="4"/>
      <c r="S5" s="4" t="s">
        <v>136</v>
      </c>
      <c r="T5" s="4" t="s">
        <v>396</v>
      </c>
      <c r="U5" s="4" t="s">
        <v>397</v>
      </c>
      <c r="V5" s="4" t="s">
        <v>381</v>
      </c>
    </row>
    <row r="6" ht="22.8" customHeight="1" spans="1:22">
      <c r="A6" s="16"/>
      <c r="B6" s="16"/>
      <c r="C6" s="16"/>
      <c r="D6" s="16"/>
      <c r="E6" s="16" t="s">
        <v>136</v>
      </c>
      <c r="F6" s="15">
        <f>F7</f>
        <v>664.4311</v>
      </c>
      <c r="G6" s="15">
        <f t="shared" ref="G6:V6" si="0">G7</f>
        <v>506.4011</v>
      </c>
      <c r="H6" s="15">
        <f t="shared" si="0"/>
        <v>288.7664</v>
      </c>
      <c r="I6" s="15">
        <f t="shared" si="0"/>
        <v>39.876</v>
      </c>
      <c r="J6" s="15">
        <f t="shared" si="0"/>
        <v>71.4771</v>
      </c>
      <c r="K6" s="15">
        <f t="shared" si="0"/>
        <v>106.2816</v>
      </c>
      <c r="L6" s="15">
        <f t="shared" si="0"/>
        <v>108.77</v>
      </c>
      <c r="M6" s="15">
        <f t="shared" si="0"/>
        <v>65.68</v>
      </c>
      <c r="N6" s="15">
        <f t="shared" si="0"/>
        <v>0</v>
      </c>
      <c r="O6" s="15">
        <f t="shared" si="0"/>
        <v>34.89</v>
      </c>
      <c r="P6" s="15">
        <f t="shared" si="0"/>
        <v>4.1</v>
      </c>
      <c r="Q6" s="15">
        <f t="shared" si="0"/>
        <v>4.1</v>
      </c>
      <c r="R6" s="15">
        <f t="shared" si="0"/>
        <v>49.26</v>
      </c>
      <c r="S6" s="15">
        <f t="shared" si="0"/>
        <v>0</v>
      </c>
      <c r="T6" s="15">
        <f t="shared" si="0"/>
        <v>0</v>
      </c>
      <c r="U6" s="15">
        <f t="shared" si="0"/>
        <v>0</v>
      </c>
      <c r="V6" s="15">
        <f t="shared" si="0"/>
        <v>0</v>
      </c>
    </row>
    <row r="7" ht="22.8" customHeight="1" spans="1:22">
      <c r="A7" s="16"/>
      <c r="B7" s="16"/>
      <c r="C7" s="16"/>
      <c r="D7" s="14" t="s">
        <v>154</v>
      </c>
      <c r="E7" s="14" t="s">
        <v>4</v>
      </c>
      <c r="F7" s="15">
        <f>F8</f>
        <v>664.4311</v>
      </c>
      <c r="G7" s="15">
        <f t="shared" ref="G7:V7" si="1">G8</f>
        <v>506.4011</v>
      </c>
      <c r="H7" s="15">
        <f t="shared" si="1"/>
        <v>288.7664</v>
      </c>
      <c r="I7" s="15">
        <f t="shared" si="1"/>
        <v>39.876</v>
      </c>
      <c r="J7" s="15">
        <f t="shared" si="1"/>
        <v>71.4771</v>
      </c>
      <c r="K7" s="15">
        <f t="shared" si="1"/>
        <v>106.2816</v>
      </c>
      <c r="L7" s="15">
        <f t="shared" si="1"/>
        <v>108.77</v>
      </c>
      <c r="M7" s="15">
        <f t="shared" si="1"/>
        <v>65.68</v>
      </c>
      <c r="N7" s="15">
        <f t="shared" si="1"/>
        <v>0</v>
      </c>
      <c r="O7" s="15">
        <f t="shared" si="1"/>
        <v>34.89</v>
      </c>
      <c r="P7" s="15">
        <f t="shared" si="1"/>
        <v>4.1</v>
      </c>
      <c r="Q7" s="15">
        <f t="shared" si="1"/>
        <v>4.1</v>
      </c>
      <c r="R7" s="15">
        <f t="shared" si="1"/>
        <v>49.26</v>
      </c>
      <c r="S7" s="15">
        <f t="shared" si="1"/>
        <v>0</v>
      </c>
      <c r="T7" s="15">
        <f t="shared" si="1"/>
        <v>0</v>
      </c>
      <c r="U7" s="15">
        <f t="shared" si="1"/>
        <v>0</v>
      </c>
      <c r="V7" s="15">
        <f t="shared" si="1"/>
        <v>0</v>
      </c>
    </row>
    <row r="8" ht="22.8" customHeight="1" spans="1:22">
      <c r="A8" s="16"/>
      <c r="B8" s="16"/>
      <c r="C8" s="16"/>
      <c r="D8" s="26" t="s">
        <v>155</v>
      </c>
      <c r="E8" s="26" t="s">
        <v>156</v>
      </c>
      <c r="F8" s="33">
        <f>G8+L8+R8</f>
        <v>664.4311</v>
      </c>
      <c r="G8" s="33">
        <f>SUM(H8:K8)</f>
        <v>506.4011</v>
      </c>
      <c r="H8" s="33">
        <f>SUM(H9:H19)</f>
        <v>288.7664</v>
      </c>
      <c r="I8" s="33">
        <f t="shared" ref="I8:V8" si="2">SUM(I9:I19)</f>
        <v>39.876</v>
      </c>
      <c r="J8" s="33">
        <f t="shared" si="2"/>
        <v>71.4771</v>
      </c>
      <c r="K8" s="33">
        <f t="shared" si="2"/>
        <v>106.2816</v>
      </c>
      <c r="L8" s="33">
        <f t="shared" si="2"/>
        <v>108.77</v>
      </c>
      <c r="M8" s="33">
        <f t="shared" si="2"/>
        <v>65.68</v>
      </c>
      <c r="N8" s="33">
        <f t="shared" si="2"/>
        <v>0</v>
      </c>
      <c r="O8" s="33">
        <f t="shared" si="2"/>
        <v>34.89</v>
      </c>
      <c r="P8" s="33">
        <f t="shared" si="2"/>
        <v>4.1</v>
      </c>
      <c r="Q8" s="33">
        <f t="shared" si="2"/>
        <v>4.1</v>
      </c>
      <c r="R8" s="33">
        <f t="shared" si="2"/>
        <v>49.26</v>
      </c>
      <c r="S8" s="15">
        <f t="shared" si="2"/>
        <v>0</v>
      </c>
      <c r="T8" s="15">
        <f t="shared" si="2"/>
        <v>0</v>
      </c>
      <c r="U8" s="15">
        <f t="shared" si="2"/>
        <v>0</v>
      </c>
      <c r="V8" s="15">
        <f t="shared" si="2"/>
        <v>0</v>
      </c>
    </row>
    <row r="9" s="20" customFormat="1" ht="19.9" customHeight="1" spans="1:22">
      <c r="A9" s="38" t="s">
        <v>180</v>
      </c>
      <c r="B9" s="38" t="s">
        <v>183</v>
      </c>
      <c r="C9" s="38" t="s">
        <v>186</v>
      </c>
      <c r="D9" s="23" t="s">
        <v>262</v>
      </c>
      <c r="E9" s="7" t="s">
        <v>261</v>
      </c>
      <c r="F9" s="8">
        <v>22.5816</v>
      </c>
      <c r="G9" s="40">
        <v>22.5816</v>
      </c>
      <c r="H9" s="40"/>
      <c r="I9" s="40"/>
      <c r="J9" s="40"/>
      <c r="K9" s="40">
        <v>22.5816</v>
      </c>
      <c r="L9" s="8"/>
      <c r="M9" s="40"/>
      <c r="N9" s="40"/>
      <c r="O9" s="40"/>
      <c r="P9" s="40"/>
      <c r="Q9" s="40"/>
      <c r="R9" s="40"/>
      <c r="S9" s="8"/>
      <c r="T9" s="40"/>
      <c r="U9" s="40"/>
      <c r="V9" s="40"/>
    </row>
    <row r="10" s="20" customFormat="1" ht="19.9" customHeight="1" spans="1:22">
      <c r="A10" s="38" t="s">
        <v>180</v>
      </c>
      <c r="B10" s="38" t="s">
        <v>189</v>
      </c>
      <c r="C10" s="38" t="s">
        <v>186</v>
      </c>
      <c r="D10" s="23" t="s">
        <v>262</v>
      </c>
      <c r="E10" s="7" t="s">
        <v>261</v>
      </c>
      <c r="F10" s="8">
        <v>0.036</v>
      </c>
      <c r="G10" s="40">
        <v>0.036</v>
      </c>
      <c r="H10" s="40"/>
      <c r="I10" s="40">
        <v>0.036</v>
      </c>
      <c r="J10" s="40"/>
      <c r="K10" s="40"/>
      <c r="L10" s="8"/>
      <c r="M10" s="40"/>
      <c r="N10" s="40"/>
      <c r="O10" s="40"/>
      <c r="P10" s="40"/>
      <c r="Q10" s="40"/>
      <c r="R10" s="40"/>
      <c r="S10" s="8"/>
      <c r="T10" s="40"/>
      <c r="U10" s="40"/>
      <c r="V10" s="40"/>
    </row>
    <row r="11" s="20" customFormat="1" ht="19.9" customHeight="1" spans="1:22">
      <c r="A11" s="38" t="s">
        <v>193</v>
      </c>
      <c r="B11" s="38" t="s">
        <v>196</v>
      </c>
      <c r="C11" s="38" t="s">
        <v>186</v>
      </c>
      <c r="D11" s="23" t="s">
        <v>262</v>
      </c>
      <c r="E11" s="7" t="s">
        <v>261</v>
      </c>
      <c r="F11" s="8">
        <v>64.7835</v>
      </c>
      <c r="G11" s="40">
        <v>64.7835</v>
      </c>
      <c r="H11" s="40">
        <v>49.3764</v>
      </c>
      <c r="I11" s="40"/>
      <c r="J11" s="40">
        <v>15.4071</v>
      </c>
      <c r="K11" s="40"/>
      <c r="L11" s="8"/>
      <c r="M11" s="40"/>
      <c r="N11" s="40"/>
      <c r="O11" s="40"/>
      <c r="P11" s="40"/>
      <c r="Q11" s="40"/>
      <c r="R11" s="40"/>
      <c r="S11" s="8"/>
      <c r="T11" s="40"/>
      <c r="U11" s="40"/>
      <c r="V11" s="40"/>
    </row>
    <row r="12" ht="22.8" customHeight="1" spans="1:22">
      <c r="A12" s="29" t="s">
        <v>193</v>
      </c>
      <c r="B12" s="29" t="s">
        <v>200</v>
      </c>
      <c r="C12" s="29" t="s">
        <v>200</v>
      </c>
      <c r="D12" s="23" t="s">
        <v>262</v>
      </c>
      <c r="E12" s="5" t="s">
        <v>263</v>
      </c>
      <c r="F12" s="33">
        <f t="shared" ref="F12:F19" si="3">G12+L12+R12</f>
        <v>65.68</v>
      </c>
      <c r="G12" s="33">
        <f t="shared" ref="G12:G19" si="4">SUM(H12:K12)</f>
        <v>0</v>
      </c>
      <c r="H12" s="35"/>
      <c r="I12" s="35"/>
      <c r="J12" s="35"/>
      <c r="K12" s="35"/>
      <c r="L12" s="33">
        <f>SUM(M12:Q12)</f>
        <v>65.68</v>
      </c>
      <c r="M12" s="35">
        <f>11.71+13.82+5.94+11.54+11.16+11.51</f>
        <v>65.68</v>
      </c>
      <c r="N12" s="35"/>
      <c r="O12" s="35"/>
      <c r="P12" s="35"/>
      <c r="Q12" s="35"/>
      <c r="R12" s="35"/>
      <c r="S12" s="6"/>
      <c r="T12" s="27"/>
      <c r="U12" s="27"/>
      <c r="V12" s="27"/>
    </row>
    <row r="13" ht="22.8" customHeight="1" spans="1:22">
      <c r="A13" s="29" t="s">
        <v>193</v>
      </c>
      <c r="B13" s="29" t="s">
        <v>205</v>
      </c>
      <c r="C13" s="29" t="s">
        <v>205</v>
      </c>
      <c r="D13" s="23" t="s">
        <v>262</v>
      </c>
      <c r="E13" s="5" t="s">
        <v>264</v>
      </c>
      <c r="F13" s="33">
        <f t="shared" si="3"/>
        <v>4.1</v>
      </c>
      <c r="G13" s="33">
        <f t="shared" si="4"/>
        <v>0</v>
      </c>
      <c r="H13" s="35"/>
      <c r="I13" s="35"/>
      <c r="J13" s="35"/>
      <c r="K13" s="35"/>
      <c r="L13" s="33">
        <f t="shared" ref="L13:L19" si="5">SUM(M13:Q13)</f>
        <v>4.1</v>
      </c>
      <c r="M13" s="35"/>
      <c r="N13" s="35"/>
      <c r="O13" s="35"/>
      <c r="P13" s="35"/>
      <c r="Q13" s="35">
        <f>0.73+0.86+0.37+0.72+0.7+0.72</f>
        <v>4.1</v>
      </c>
      <c r="R13" s="35"/>
      <c r="S13" s="6"/>
      <c r="T13" s="27"/>
      <c r="U13" s="27"/>
      <c r="V13" s="27"/>
    </row>
    <row r="14" ht="22.8" customHeight="1" spans="1:22">
      <c r="A14" s="29" t="s">
        <v>210</v>
      </c>
      <c r="B14" s="29" t="s">
        <v>213</v>
      </c>
      <c r="C14" s="29" t="s">
        <v>196</v>
      </c>
      <c r="D14" s="23" t="s">
        <v>262</v>
      </c>
      <c r="E14" s="5" t="s">
        <v>265</v>
      </c>
      <c r="F14" s="33">
        <f t="shared" si="3"/>
        <v>13.56</v>
      </c>
      <c r="G14" s="33">
        <f t="shared" si="4"/>
        <v>0</v>
      </c>
      <c r="H14" s="35"/>
      <c r="I14" s="35"/>
      <c r="J14" s="35"/>
      <c r="K14" s="35"/>
      <c r="L14" s="33">
        <f t="shared" si="5"/>
        <v>13.56</v>
      </c>
      <c r="M14" s="35"/>
      <c r="N14" s="35"/>
      <c r="O14" s="35">
        <f>6.22+7.34</f>
        <v>13.56</v>
      </c>
      <c r="P14" s="35"/>
      <c r="Q14" s="35"/>
      <c r="R14" s="35"/>
      <c r="S14" s="6"/>
      <c r="T14" s="27"/>
      <c r="U14" s="27"/>
      <c r="V14" s="27"/>
    </row>
    <row r="15" s="20" customFormat="1" ht="22.9" customHeight="1" spans="1:22">
      <c r="A15" s="38" t="s">
        <v>210</v>
      </c>
      <c r="B15" s="38" t="s">
        <v>213</v>
      </c>
      <c r="C15" s="38" t="s">
        <v>218</v>
      </c>
      <c r="D15" s="23" t="s">
        <v>262</v>
      </c>
      <c r="E15" s="7" t="s">
        <v>266</v>
      </c>
      <c r="F15" s="33">
        <f t="shared" si="3"/>
        <v>15.2</v>
      </c>
      <c r="G15" s="33">
        <f t="shared" si="4"/>
        <v>0</v>
      </c>
      <c r="H15" s="40"/>
      <c r="I15" s="40"/>
      <c r="J15" s="40"/>
      <c r="K15" s="40"/>
      <c r="L15" s="33">
        <f t="shared" si="5"/>
        <v>15.2</v>
      </c>
      <c r="M15" s="40"/>
      <c r="N15" s="40"/>
      <c r="O15" s="40">
        <f>3.15+5.93+6.12</f>
        <v>15.2</v>
      </c>
      <c r="P15" s="40"/>
      <c r="Q15" s="40"/>
      <c r="R15" s="40"/>
      <c r="S15" s="8"/>
      <c r="T15" s="40"/>
      <c r="U15" s="40"/>
      <c r="V15" s="40"/>
    </row>
    <row r="16" ht="22.8" customHeight="1" spans="1:22">
      <c r="A16" s="29" t="s">
        <v>210</v>
      </c>
      <c r="B16" s="29" t="s">
        <v>213</v>
      </c>
      <c r="C16" s="29" t="s">
        <v>221</v>
      </c>
      <c r="D16" s="23" t="s">
        <v>262</v>
      </c>
      <c r="E16" s="5" t="s">
        <v>267</v>
      </c>
      <c r="F16" s="33">
        <f t="shared" si="3"/>
        <v>3.38</v>
      </c>
      <c r="G16" s="33">
        <f t="shared" si="4"/>
        <v>0</v>
      </c>
      <c r="H16" s="35"/>
      <c r="I16" s="35"/>
      <c r="J16" s="35"/>
      <c r="K16" s="35"/>
      <c r="L16" s="33">
        <f t="shared" si="5"/>
        <v>3.38</v>
      </c>
      <c r="M16" s="35"/>
      <c r="N16" s="35"/>
      <c r="O16" s="35"/>
      <c r="P16" s="35">
        <f>0.73+0.86+0.37+0.7+0.72</f>
        <v>3.38</v>
      </c>
      <c r="Q16" s="35"/>
      <c r="R16" s="35"/>
      <c r="S16" s="6"/>
      <c r="T16" s="27"/>
      <c r="U16" s="27"/>
      <c r="V16" s="27"/>
    </row>
    <row r="17" ht="22.8" customHeight="1" spans="1:22">
      <c r="A17" s="29" t="s">
        <v>224</v>
      </c>
      <c r="B17" s="29" t="s">
        <v>196</v>
      </c>
      <c r="C17" s="29" t="s">
        <v>196</v>
      </c>
      <c r="D17" s="23" t="s">
        <v>262</v>
      </c>
      <c r="E17" s="5" t="s">
        <v>268</v>
      </c>
      <c r="F17" s="33">
        <f t="shared" si="3"/>
        <v>88.74</v>
      </c>
      <c r="G17" s="33">
        <f t="shared" si="4"/>
        <v>88.74</v>
      </c>
      <c r="H17" s="35">
        <v>50.03</v>
      </c>
      <c r="I17" s="35">
        <v>23.3</v>
      </c>
      <c r="J17" s="35">
        <v>15.41</v>
      </c>
      <c r="K17" s="35"/>
      <c r="L17" s="33">
        <f t="shared" si="5"/>
        <v>0</v>
      </c>
      <c r="M17" s="35"/>
      <c r="N17" s="35"/>
      <c r="O17" s="35"/>
      <c r="P17" s="35"/>
      <c r="Q17" s="35"/>
      <c r="R17" s="35"/>
      <c r="S17" s="6"/>
      <c r="T17" s="27"/>
      <c r="U17" s="27"/>
      <c r="V17" s="27"/>
    </row>
    <row r="18" ht="22.8" customHeight="1" spans="1:22">
      <c r="A18" s="38" t="s">
        <v>224</v>
      </c>
      <c r="B18" s="38" t="s">
        <v>196</v>
      </c>
      <c r="C18" s="38" t="s">
        <v>231</v>
      </c>
      <c r="D18" s="23" t="s">
        <v>262</v>
      </c>
      <c r="E18" s="7" t="s">
        <v>261</v>
      </c>
      <c r="F18" s="33">
        <f t="shared" si="3"/>
        <v>337.11</v>
      </c>
      <c r="G18" s="33">
        <f t="shared" si="4"/>
        <v>330.26</v>
      </c>
      <c r="H18" s="40">
        <f>60.62+26.18+47.38+47.44+7.74</f>
        <v>189.36</v>
      </c>
      <c r="I18" s="40">
        <f>0.07+0.11+16.18+0.18</f>
        <v>16.54</v>
      </c>
      <c r="J18" s="40">
        <f>17.97+7.54+15.15</f>
        <v>40.66</v>
      </c>
      <c r="K18" s="40">
        <f>25.74+10.92+24.72+22.32</f>
        <v>83.7</v>
      </c>
      <c r="L18" s="33">
        <f t="shared" si="5"/>
        <v>6.85</v>
      </c>
      <c r="M18" s="40"/>
      <c r="N18" s="40"/>
      <c r="O18" s="40">
        <f>6.13</f>
        <v>6.13</v>
      </c>
      <c r="P18" s="40">
        <f>0.72</f>
        <v>0.72</v>
      </c>
      <c r="Q18" s="40"/>
      <c r="R18" s="40"/>
      <c r="S18" s="8"/>
      <c r="T18" s="40"/>
      <c r="U18" s="40"/>
      <c r="V18" s="40"/>
    </row>
    <row r="19" ht="22.8" customHeight="1" spans="1:22">
      <c r="A19" s="29" t="s">
        <v>235</v>
      </c>
      <c r="B19" s="29" t="s">
        <v>218</v>
      </c>
      <c r="C19" s="29" t="s">
        <v>196</v>
      </c>
      <c r="D19" s="23" t="s">
        <v>262</v>
      </c>
      <c r="E19" s="5" t="s">
        <v>270</v>
      </c>
      <c r="F19" s="33">
        <f t="shared" si="3"/>
        <v>49.26</v>
      </c>
      <c r="G19" s="33">
        <f t="shared" si="4"/>
        <v>0</v>
      </c>
      <c r="H19" s="35"/>
      <c r="I19" s="35"/>
      <c r="J19" s="35"/>
      <c r="K19" s="35"/>
      <c r="L19" s="33">
        <f t="shared" si="5"/>
        <v>0</v>
      </c>
      <c r="M19" s="35"/>
      <c r="N19" s="35"/>
      <c r="O19" s="35"/>
      <c r="P19" s="35"/>
      <c r="Q19" s="35"/>
      <c r="R19" s="35">
        <f>8.79+10.36+4.46+8.37+8.65+8.63</f>
        <v>49.26</v>
      </c>
      <c r="S19" s="6"/>
      <c r="T19" s="27"/>
      <c r="U19" s="27"/>
      <c r="V19" s="27"/>
    </row>
    <row r="20" ht="16.35" customHeight="1" spans="1:18">
      <c r="A20" s="25" t="s">
        <v>332</v>
      </c>
      <c r="B20" s="25"/>
      <c r="C20" s="25"/>
      <c r="D20" s="25"/>
      <c r="E20" s="25"/>
      <c r="F20" s="44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0:E20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9.775" defaultRowHeight="14.25"/>
  <cols>
    <col min="1" max="1" width="4.33333333333333" customWidth="1"/>
    <col min="2" max="2" width="4.775" customWidth="1"/>
    <col min="3" max="3" width="5" customWidth="1"/>
    <col min="4" max="4" width="12.4416666666667" customWidth="1"/>
    <col min="5" max="5" width="29.8833333333333" customWidth="1"/>
    <col min="6" max="6" width="16.4416666666667" customWidth="1"/>
    <col min="7" max="7" width="13.4416666666667" customWidth="1"/>
    <col min="8" max="8" width="11.1083333333333" customWidth="1"/>
    <col min="9" max="9" width="12.1083333333333" customWidth="1"/>
    <col min="10" max="10" width="11.8833333333333" customWidth="1"/>
    <col min="11" max="11" width="11.5583333333333" customWidth="1"/>
    <col min="12" max="12" width="9.775" customWidth="1"/>
  </cols>
  <sheetData>
    <row r="1" ht="16.35" customHeight="1" spans="1:11">
      <c r="A1" s="1"/>
      <c r="K1" s="19" t="s">
        <v>398</v>
      </c>
    </row>
    <row r="2" ht="46.5" customHeight="1" spans="1:11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18.15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1" t="s">
        <v>32</v>
      </c>
      <c r="K3" s="11"/>
    </row>
    <row r="4" ht="23.25" customHeight="1" spans="1:11">
      <c r="A4" s="4" t="s">
        <v>168</v>
      </c>
      <c r="B4" s="4"/>
      <c r="C4" s="4"/>
      <c r="D4" s="4" t="s">
        <v>243</v>
      </c>
      <c r="E4" s="4" t="s">
        <v>244</v>
      </c>
      <c r="F4" s="4" t="s">
        <v>399</v>
      </c>
      <c r="G4" s="4" t="s">
        <v>400</v>
      </c>
      <c r="H4" s="4" t="s">
        <v>401</v>
      </c>
      <c r="I4" s="4" t="s">
        <v>402</v>
      </c>
      <c r="J4" s="4" t="s">
        <v>403</v>
      </c>
      <c r="K4" s="4" t="s">
        <v>404</v>
      </c>
    </row>
    <row r="5" ht="17.25" customHeight="1" spans="1:11">
      <c r="A5" s="4" t="s">
        <v>176</v>
      </c>
      <c r="B5" s="4" t="s">
        <v>177</v>
      </c>
      <c r="C5" s="4" t="s">
        <v>178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</row>
    <row r="7" ht="22.8" customHeight="1" spans="1:11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</row>
    <row r="8" ht="22.8" customHeight="1" spans="1:11">
      <c r="A8" s="16"/>
      <c r="B8" s="16"/>
      <c r="C8" s="16"/>
      <c r="D8" s="26"/>
      <c r="E8" s="26"/>
      <c r="F8" s="15"/>
      <c r="G8" s="15"/>
      <c r="H8" s="15"/>
      <c r="I8" s="15"/>
      <c r="J8" s="15"/>
      <c r="K8" s="15"/>
    </row>
    <row r="9" ht="22.8" customHeight="1" spans="1:11">
      <c r="A9" s="29"/>
      <c r="B9" s="29"/>
      <c r="C9" s="29"/>
      <c r="D9" s="23"/>
      <c r="E9" s="5"/>
      <c r="F9" s="6"/>
      <c r="G9" s="27"/>
      <c r="H9" s="27"/>
      <c r="I9" s="27"/>
      <c r="J9" s="27"/>
      <c r="K9" s="27"/>
    </row>
    <row r="10" ht="16.35" customHeight="1" spans="1:5">
      <c r="A10" s="25" t="s">
        <v>332</v>
      </c>
      <c r="B10" s="25"/>
      <c r="C10" s="25"/>
      <c r="D10" s="25"/>
      <c r="E10" s="25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9.775" defaultRowHeight="14.25"/>
  <cols>
    <col min="1" max="1" width="4.21666666666667" customWidth="1"/>
    <col min="2" max="2" width="4.33333333333333" customWidth="1"/>
    <col min="3" max="3" width="4.88333333333333" customWidth="1"/>
    <col min="4" max="4" width="9.775" customWidth="1"/>
    <col min="5" max="5" width="20.1083333333333" customWidth="1"/>
    <col min="6" max="18" width="7.66666666666667" customWidth="1"/>
    <col min="19" max="19" width="9.775" customWidth="1"/>
  </cols>
  <sheetData>
    <row r="1" ht="16.35" customHeight="1" spans="1:18">
      <c r="A1" s="1"/>
      <c r="Q1" s="19" t="s">
        <v>405</v>
      </c>
      <c r="R1" s="19"/>
    </row>
    <row r="2" ht="40.5" customHeight="1" spans="1:18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1" t="s">
        <v>32</v>
      </c>
      <c r="R3" s="11"/>
    </row>
    <row r="4" ht="24.15" customHeight="1" spans="1:18">
      <c r="A4" s="4" t="s">
        <v>168</v>
      </c>
      <c r="B4" s="4"/>
      <c r="C4" s="4"/>
      <c r="D4" s="4" t="s">
        <v>243</v>
      </c>
      <c r="E4" s="4" t="s">
        <v>244</v>
      </c>
      <c r="F4" s="4" t="s">
        <v>399</v>
      </c>
      <c r="G4" s="4" t="s">
        <v>406</v>
      </c>
      <c r="H4" s="4" t="s">
        <v>407</v>
      </c>
      <c r="I4" s="4" t="s">
        <v>408</v>
      </c>
      <c r="J4" s="4" t="s">
        <v>409</v>
      </c>
      <c r="K4" s="4" t="s">
        <v>410</v>
      </c>
      <c r="L4" s="4" t="s">
        <v>411</v>
      </c>
      <c r="M4" s="4" t="s">
        <v>412</v>
      </c>
      <c r="N4" s="4" t="s">
        <v>401</v>
      </c>
      <c r="O4" s="4" t="s">
        <v>413</v>
      </c>
      <c r="P4" s="4" t="s">
        <v>414</v>
      </c>
      <c r="Q4" s="4" t="s">
        <v>402</v>
      </c>
      <c r="R4" s="4" t="s">
        <v>404</v>
      </c>
    </row>
    <row r="5" ht="21.6" customHeight="1" spans="1:18">
      <c r="A5" s="4" t="s">
        <v>176</v>
      </c>
      <c r="B5" s="4" t="s">
        <v>177</v>
      </c>
      <c r="C5" s="4" t="s">
        <v>178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ht="22.8" customHeight="1" spans="1:18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</row>
    <row r="8" ht="22.8" customHeight="1" spans="1:18">
      <c r="A8" s="16"/>
      <c r="B8" s="16"/>
      <c r="C8" s="16"/>
      <c r="D8" s="26"/>
      <c r="E8" s="2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2.8" customHeight="1" spans="1:18">
      <c r="A9" s="29"/>
      <c r="B9" s="29"/>
      <c r="C9" s="29"/>
      <c r="D9" s="23"/>
      <c r="E9" s="5"/>
      <c r="F9" s="6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</row>
    <row r="10" ht="16.35" customHeight="1" spans="1:5">
      <c r="A10" s="25" t="s">
        <v>332</v>
      </c>
      <c r="B10" s="25"/>
      <c r="C10" s="25"/>
      <c r="D10" s="25"/>
      <c r="E10" s="25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1"/>
  <sheetViews>
    <sheetView workbookViewId="0">
      <selection activeCell="F8" sqref="F8:V10"/>
    </sheetView>
  </sheetViews>
  <sheetFormatPr defaultColWidth="9.775" defaultRowHeight="14.25"/>
  <cols>
    <col min="1" max="1" width="3.66666666666667" customWidth="1"/>
    <col min="2" max="2" width="3.88333333333333" customWidth="1"/>
    <col min="3" max="3" width="4.10833333333333" customWidth="1"/>
    <col min="4" max="4" width="7" customWidth="1"/>
    <col min="5" max="5" width="15.8833333333333" customWidth="1"/>
    <col min="6" max="6" width="9.66666666666667" customWidth="1"/>
    <col min="7" max="7" width="8.44166666666667" customWidth="1"/>
    <col min="8" max="17" width="7.21666666666667" customWidth="1"/>
    <col min="18" max="18" width="8.55833333333333" customWidth="1"/>
    <col min="19" max="20" width="7.21666666666667" customWidth="1"/>
    <col min="21" max="21" width="9.775" customWidth="1"/>
  </cols>
  <sheetData>
    <row r="1" ht="16.35" customHeight="1" spans="1:20">
      <c r="A1" s="1"/>
      <c r="S1" s="19" t="s">
        <v>415</v>
      </c>
      <c r="T1" s="19"/>
    </row>
    <row r="2" ht="36.15" customHeight="1" spans="1:20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8.5" customHeight="1" spans="1:20">
      <c r="A4" s="4" t="s">
        <v>168</v>
      </c>
      <c r="B4" s="4"/>
      <c r="C4" s="4"/>
      <c r="D4" s="4" t="s">
        <v>243</v>
      </c>
      <c r="E4" s="4" t="s">
        <v>244</v>
      </c>
      <c r="F4" s="4" t="s">
        <v>399</v>
      </c>
      <c r="G4" s="4" t="s">
        <v>247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250</v>
      </c>
      <c r="S4" s="4"/>
      <c r="T4" s="4"/>
    </row>
    <row r="5" ht="36.15" customHeight="1" spans="1:20">
      <c r="A5" s="4" t="s">
        <v>176</v>
      </c>
      <c r="B5" s="4" t="s">
        <v>177</v>
      </c>
      <c r="C5" s="4" t="s">
        <v>178</v>
      </c>
      <c r="D5" s="4"/>
      <c r="E5" s="4"/>
      <c r="F5" s="4"/>
      <c r="G5" s="4" t="s">
        <v>136</v>
      </c>
      <c r="H5" s="4" t="s">
        <v>416</v>
      </c>
      <c r="I5" s="4" t="s">
        <v>417</v>
      </c>
      <c r="J5" s="4" t="s">
        <v>418</v>
      </c>
      <c r="K5" s="4" t="s">
        <v>419</v>
      </c>
      <c r="L5" s="4" t="s">
        <v>420</v>
      </c>
      <c r="M5" s="4" t="s">
        <v>421</v>
      </c>
      <c r="N5" s="4" t="s">
        <v>422</v>
      </c>
      <c r="O5" s="4" t="s">
        <v>423</v>
      </c>
      <c r="P5" s="4" t="s">
        <v>424</v>
      </c>
      <c r="Q5" s="4" t="s">
        <v>425</v>
      </c>
      <c r="R5" s="4" t="s">
        <v>136</v>
      </c>
      <c r="S5" s="4" t="s">
        <v>358</v>
      </c>
      <c r="T5" s="4" t="s">
        <v>382</v>
      </c>
    </row>
    <row r="6" ht="22.8" customHeight="1" spans="1:20">
      <c r="A6" s="16"/>
      <c r="B6" s="16"/>
      <c r="C6" s="16"/>
      <c r="D6" s="16"/>
      <c r="E6" s="16" t="s">
        <v>136</v>
      </c>
      <c r="F6" s="43">
        <f>F7</f>
        <v>85.416</v>
      </c>
      <c r="G6" s="43">
        <f t="shared" ref="G6:M6" si="0">G7</f>
        <v>20.196</v>
      </c>
      <c r="H6" s="43">
        <f t="shared" si="0"/>
        <v>15.196</v>
      </c>
      <c r="I6" s="43">
        <f t="shared" si="0"/>
        <v>2.8</v>
      </c>
      <c r="J6" s="43">
        <f t="shared" si="0"/>
        <v>0</v>
      </c>
      <c r="K6" s="43">
        <f t="shared" si="0"/>
        <v>0</v>
      </c>
      <c r="L6" s="43">
        <f t="shared" si="0"/>
        <v>0</v>
      </c>
      <c r="M6" s="43">
        <f t="shared" si="0"/>
        <v>2.2</v>
      </c>
      <c r="N6" s="43"/>
      <c r="O6" s="43"/>
      <c r="P6" s="43"/>
      <c r="Q6" s="43"/>
      <c r="R6" s="43"/>
      <c r="S6" s="43"/>
      <c r="T6" s="43"/>
    </row>
    <row r="7" ht="22.8" customHeight="1" spans="1:20">
      <c r="A7" s="16"/>
      <c r="B7" s="16"/>
      <c r="C7" s="16"/>
      <c r="D7" s="14" t="s">
        <v>154</v>
      </c>
      <c r="E7" s="14" t="s">
        <v>4</v>
      </c>
      <c r="F7" s="43">
        <f>F8</f>
        <v>85.416</v>
      </c>
      <c r="G7" s="43">
        <f t="shared" ref="G7:M7" si="1">G8</f>
        <v>20.196</v>
      </c>
      <c r="H7" s="43">
        <f t="shared" si="1"/>
        <v>15.196</v>
      </c>
      <c r="I7" s="43">
        <f t="shared" si="1"/>
        <v>2.8</v>
      </c>
      <c r="J7" s="43">
        <f t="shared" si="1"/>
        <v>0</v>
      </c>
      <c r="K7" s="43">
        <f t="shared" si="1"/>
        <v>0</v>
      </c>
      <c r="L7" s="43">
        <f t="shared" si="1"/>
        <v>0</v>
      </c>
      <c r="M7" s="43">
        <f t="shared" si="1"/>
        <v>2.2</v>
      </c>
      <c r="N7" s="43"/>
      <c r="O7" s="43"/>
      <c r="P7" s="43"/>
      <c r="Q7" s="43"/>
      <c r="R7" s="43"/>
      <c r="S7" s="43"/>
      <c r="T7" s="43"/>
    </row>
    <row r="8" ht="22.8" customHeight="1" spans="1:22">
      <c r="A8" s="16"/>
      <c r="B8" s="16"/>
      <c r="C8" s="16"/>
      <c r="D8" s="26" t="s">
        <v>155</v>
      </c>
      <c r="E8" s="26" t="s">
        <v>156</v>
      </c>
      <c r="F8" s="39">
        <f>G8+R8</f>
        <v>85.416</v>
      </c>
      <c r="G8" s="39">
        <f>SUM(H8:Q8)</f>
        <v>20.196</v>
      </c>
      <c r="H8" s="39">
        <v>15.196</v>
      </c>
      <c r="I8" s="39">
        <v>2.8</v>
      </c>
      <c r="J8" s="39"/>
      <c r="K8" s="39"/>
      <c r="L8" s="39"/>
      <c r="M8" s="39">
        <v>2.2</v>
      </c>
      <c r="N8" s="39"/>
      <c r="O8" s="39"/>
      <c r="P8" s="39"/>
      <c r="Q8" s="39"/>
      <c r="R8" s="39">
        <f>S8+T8</f>
        <v>65.22</v>
      </c>
      <c r="S8" s="39">
        <f>SUM(S9:S10)</f>
        <v>65.22</v>
      </c>
      <c r="T8" s="39">
        <f>SUM(T9:T10)</f>
        <v>0</v>
      </c>
      <c r="U8" s="36"/>
      <c r="V8" s="36"/>
    </row>
    <row r="9" ht="22.8" customHeight="1" spans="1:22">
      <c r="A9" s="29" t="s">
        <v>224</v>
      </c>
      <c r="B9" s="29" t="s">
        <v>196</v>
      </c>
      <c r="C9" s="29" t="s">
        <v>196</v>
      </c>
      <c r="D9" s="23" t="s">
        <v>262</v>
      </c>
      <c r="E9" s="5" t="s">
        <v>268</v>
      </c>
      <c r="F9" s="39">
        <f>G9+R9</f>
        <v>20.196</v>
      </c>
      <c r="G9" s="39">
        <f>SUM(H9:Q9)</f>
        <v>20.196</v>
      </c>
      <c r="H9" s="35">
        <v>15.196</v>
      </c>
      <c r="I9" s="35">
        <v>2.8</v>
      </c>
      <c r="J9" s="35"/>
      <c r="K9" s="35"/>
      <c r="L9" s="35"/>
      <c r="M9" s="35">
        <v>2.2</v>
      </c>
      <c r="N9" s="35"/>
      <c r="O9" s="35"/>
      <c r="P9" s="35"/>
      <c r="Q9" s="35"/>
      <c r="R9" s="39">
        <f>S9+T9</f>
        <v>0</v>
      </c>
      <c r="S9" s="35"/>
      <c r="T9" s="35"/>
      <c r="U9" s="36"/>
      <c r="V9" s="36"/>
    </row>
    <row r="10" ht="22.8" customHeight="1" spans="1:22">
      <c r="A10" s="38" t="s">
        <v>224</v>
      </c>
      <c r="B10" s="38" t="s">
        <v>196</v>
      </c>
      <c r="C10" s="38" t="s">
        <v>231</v>
      </c>
      <c r="D10" s="23" t="s">
        <v>262</v>
      </c>
      <c r="E10" s="7" t="s">
        <v>261</v>
      </c>
      <c r="F10" s="39">
        <f>G10+R10</f>
        <v>65.22</v>
      </c>
      <c r="G10" s="39">
        <f>SUM(H10:Q10)</f>
        <v>0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39">
        <f>S10+T10</f>
        <v>65.22</v>
      </c>
      <c r="S10" s="40">
        <f>14.4+9.3+14.4+20.1+7.02</f>
        <v>65.22</v>
      </c>
      <c r="T10" s="40"/>
      <c r="U10" s="36"/>
      <c r="V10" s="36"/>
    </row>
    <row r="11" ht="22.8" customHeight="1" spans="1:6">
      <c r="A11" s="25" t="s">
        <v>332</v>
      </c>
      <c r="B11" s="25"/>
      <c r="C11" s="25"/>
      <c r="D11" s="25"/>
      <c r="E11" s="25"/>
      <c r="F11" s="25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12"/>
  <sheetViews>
    <sheetView topLeftCell="F1" workbookViewId="0">
      <selection activeCell="S20" sqref="S20"/>
    </sheetView>
  </sheetViews>
  <sheetFormatPr defaultColWidth="9.775" defaultRowHeight="14.25"/>
  <cols>
    <col min="1" max="1" width="4.44166666666667" customWidth="1"/>
    <col min="2" max="3" width="4.66666666666667" customWidth="1"/>
    <col min="4" max="4" width="10.2166666666667" customWidth="1"/>
    <col min="5" max="5" width="18.2166666666667" customWidth="1"/>
    <col min="6" max="6" width="10.6666666666667" customWidth="1"/>
    <col min="7" max="32" width="7.21666666666667" customWidth="1"/>
    <col min="33" max="34" width="9.775" customWidth="1"/>
  </cols>
  <sheetData>
    <row r="1" ht="13.8" customHeight="1" spans="1:32">
      <c r="A1" s="1"/>
      <c r="F1" s="1"/>
      <c r="AE1" s="19" t="s">
        <v>426</v>
      </c>
      <c r="AF1" s="19"/>
    </row>
    <row r="2" ht="43.95" customHeight="1" spans="1:32">
      <c r="A2" s="21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ht="19.8" customHeight="1" spans="1:3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1" t="s">
        <v>32</v>
      </c>
      <c r="AF3" s="11"/>
    </row>
    <row r="4" ht="25.05" customHeight="1" spans="1:32">
      <c r="A4" s="4" t="s">
        <v>168</v>
      </c>
      <c r="B4" s="4"/>
      <c r="C4" s="4"/>
      <c r="D4" s="4" t="s">
        <v>243</v>
      </c>
      <c r="E4" s="4" t="s">
        <v>244</v>
      </c>
      <c r="F4" s="4" t="s">
        <v>427</v>
      </c>
      <c r="G4" s="4" t="s">
        <v>428</v>
      </c>
      <c r="H4" s="4" t="s">
        <v>429</v>
      </c>
      <c r="I4" s="4" t="s">
        <v>430</v>
      </c>
      <c r="J4" s="4" t="s">
        <v>431</v>
      </c>
      <c r="K4" s="4" t="s">
        <v>432</v>
      </c>
      <c r="L4" s="4" t="s">
        <v>433</v>
      </c>
      <c r="M4" s="4" t="s">
        <v>434</v>
      </c>
      <c r="N4" s="4" t="s">
        <v>435</v>
      </c>
      <c r="O4" s="4" t="s">
        <v>436</v>
      </c>
      <c r="P4" s="4" t="s">
        <v>437</v>
      </c>
      <c r="Q4" s="4" t="s">
        <v>422</v>
      </c>
      <c r="R4" s="4" t="s">
        <v>424</v>
      </c>
      <c r="S4" s="4" t="s">
        <v>438</v>
      </c>
      <c r="T4" s="4" t="s">
        <v>417</v>
      </c>
      <c r="U4" s="4" t="s">
        <v>418</v>
      </c>
      <c r="V4" s="4" t="s">
        <v>421</v>
      </c>
      <c r="W4" s="4" t="s">
        <v>439</v>
      </c>
      <c r="X4" s="4" t="s">
        <v>440</v>
      </c>
      <c r="Y4" s="4" t="s">
        <v>441</v>
      </c>
      <c r="Z4" s="4" t="s">
        <v>442</v>
      </c>
      <c r="AA4" s="4" t="s">
        <v>420</v>
      </c>
      <c r="AB4" s="4" t="s">
        <v>443</v>
      </c>
      <c r="AC4" s="4" t="s">
        <v>423</v>
      </c>
      <c r="AD4" s="4" t="s">
        <v>444</v>
      </c>
      <c r="AE4" s="4" t="s">
        <v>445</v>
      </c>
      <c r="AF4" s="4" t="s">
        <v>425</v>
      </c>
    </row>
    <row r="5" ht="21.6" customHeight="1" spans="1:32">
      <c r="A5" s="4" t="s">
        <v>176</v>
      </c>
      <c r="B5" s="4" t="s">
        <v>177</v>
      </c>
      <c r="C5" s="4" t="s">
        <v>178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ht="22.8" customHeight="1" spans="1:35">
      <c r="A6" s="22"/>
      <c r="B6" s="37"/>
      <c r="C6" s="37"/>
      <c r="D6" s="5"/>
      <c r="E6" s="5" t="s">
        <v>136</v>
      </c>
      <c r="F6" s="39">
        <f>F7</f>
        <v>85.416</v>
      </c>
      <c r="G6" s="39">
        <f t="shared" ref="G6:AF6" si="0">G7</f>
        <v>19.4</v>
      </c>
      <c r="H6" s="39">
        <f t="shared" si="0"/>
        <v>5.4</v>
      </c>
      <c r="I6" s="39">
        <f t="shared" si="0"/>
        <v>0</v>
      </c>
      <c r="J6" s="39">
        <f t="shared" si="0"/>
        <v>0</v>
      </c>
      <c r="K6" s="39">
        <f t="shared" si="0"/>
        <v>0</v>
      </c>
      <c r="L6" s="39">
        <f t="shared" si="0"/>
        <v>2.6</v>
      </c>
      <c r="M6" s="39">
        <f t="shared" si="0"/>
        <v>0</v>
      </c>
      <c r="N6" s="39">
        <f t="shared" si="0"/>
        <v>0</v>
      </c>
      <c r="O6" s="39">
        <f t="shared" si="0"/>
        <v>0</v>
      </c>
      <c r="P6" s="39">
        <f t="shared" si="0"/>
        <v>3.8</v>
      </c>
      <c r="Q6" s="39">
        <f t="shared" si="0"/>
        <v>0</v>
      </c>
      <c r="R6" s="39">
        <f t="shared" si="0"/>
        <v>0.2</v>
      </c>
      <c r="S6" s="39">
        <f t="shared" si="0"/>
        <v>0</v>
      </c>
      <c r="T6" s="39">
        <f t="shared" si="0"/>
        <v>2.8</v>
      </c>
      <c r="U6" s="39">
        <f t="shared" si="0"/>
        <v>2</v>
      </c>
      <c r="V6" s="39">
        <f t="shared" si="0"/>
        <v>6.71</v>
      </c>
      <c r="W6" s="39">
        <f t="shared" si="0"/>
        <v>0</v>
      </c>
      <c r="X6" s="39">
        <f t="shared" si="0"/>
        <v>0</v>
      </c>
      <c r="Y6" s="39">
        <f t="shared" si="0"/>
        <v>0</v>
      </c>
      <c r="Z6" s="39">
        <f t="shared" si="0"/>
        <v>0</v>
      </c>
      <c r="AA6" s="39">
        <f t="shared" si="0"/>
        <v>0</v>
      </c>
      <c r="AB6" s="39">
        <f t="shared" si="0"/>
        <v>0</v>
      </c>
      <c r="AC6" s="39">
        <f t="shared" si="0"/>
        <v>0</v>
      </c>
      <c r="AD6" s="39">
        <f t="shared" si="0"/>
        <v>25.416</v>
      </c>
      <c r="AE6" s="39">
        <f t="shared" si="0"/>
        <v>0</v>
      </c>
      <c r="AF6" s="39">
        <f t="shared" si="0"/>
        <v>17.09</v>
      </c>
      <c r="AG6" s="36"/>
      <c r="AH6" s="36"/>
      <c r="AI6" s="36"/>
    </row>
    <row r="7" ht="22.8" customHeight="1" spans="1:35">
      <c r="A7" s="16"/>
      <c r="B7" s="16"/>
      <c r="C7" s="16"/>
      <c r="D7" s="14" t="s">
        <v>154</v>
      </c>
      <c r="E7" s="14" t="s">
        <v>4</v>
      </c>
      <c r="F7" s="39">
        <f>F8</f>
        <v>85.416</v>
      </c>
      <c r="G7" s="39">
        <f t="shared" ref="G7:AF7" si="1">G8</f>
        <v>19.4</v>
      </c>
      <c r="H7" s="39">
        <f t="shared" si="1"/>
        <v>5.4</v>
      </c>
      <c r="I7" s="39">
        <f t="shared" si="1"/>
        <v>0</v>
      </c>
      <c r="J7" s="39">
        <f t="shared" si="1"/>
        <v>0</v>
      </c>
      <c r="K7" s="39">
        <f t="shared" si="1"/>
        <v>0</v>
      </c>
      <c r="L7" s="39">
        <f t="shared" si="1"/>
        <v>2.6</v>
      </c>
      <c r="M7" s="39">
        <f t="shared" si="1"/>
        <v>0</v>
      </c>
      <c r="N7" s="39">
        <f t="shared" si="1"/>
        <v>0</v>
      </c>
      <c r="O7" s="39">
        <f t="shared" si="1"/>
        <v>0</v>
      </c>
      <c r="P7" s="39">
        <f t="shared" si="1"/>
        <v>3.8</v>
      </c>
      <c r="Q7" s="39">
        <f t="shared" si="1"/>
        <v>0</v>
      </c>
      <c r="R7" s="39">
        <f t="shared" si="1"/>
        <v>0.2</v>
      </c>
      <c r="S7" s="39">
        <f t="shared" si="1"/>
        <v>0</v>
      </c>
      <c r="T7" s="39">
        <f t="shared" si="1"/>
        <v>2.8</v>
      </c>
      <c r="U7" s="39">
        <f t="shared" si="1"/>
        <v>2</v>
      </c>
      <c r="V7" s="39">
        <f t="shared" si="1"/>
        <v>6.71</v>
      </c>
      <c r="W7" s="39">
        <f t="shared" si="1"/>
        <v>0</v>
      </c>
      <c r="X7" s="39">
        <f t="shared" si="1"/>
        <v>0</v>
      </c>
      <c r="Y7" s="39">
        <f t="shared" si="1"/>
        <v>0</v>
      </c>
      <c r="Z7" s="39">
        <f t="shared" si="1"/>
        <v>0</v>
      </c>
      <c r="AA7" s="39">
        <f t="shared" si="1"/>
        <v>0</v>
      </c>
      <c r="AB7" s="39">
        <f t="shared" si="1"/>
        <v>0</v>
      </c>
      <c r="AC7" s="39">
        <f t="shared" si="1"/>
        <v>0</v>
      </c>
      <c r="AD7" s="39">
        <f t="shared" si="1"/>
        <v>25.416</v>
      </c>
      <c r="AE7" s="39">
        <f t="shared" si="1"/>
        <v>0</v>
      </c>
      <c r="AF7" s="39">
        <f t="shared" si="1"/>
        <v>17.09</v>
      </c>
      <c r="AG7" s="36"/>
      <c r="AH7" s="36"/>
      <c r="AI7" s="36"/>
    </row>
    <row r="8" ht="22.8" customHeight="1" spans="1:35">
      <c r="A8" s="16"/>
      <c r="B8" s="16"/>
      <c r="C8" s="16"/>
      <c r="D8" s="26" t="s">
        <v>155</v>
      </c>
      <c r="E8" s="26" t="s">
        <v>156</v>
      </c>
      <c r="F8" s="39">
        <f>SUM(G8:AF8)</f>
        <v>85.416</v>
      </c>
      <c r="G8" s="39">
        <f>SUM(G9:G10)</f>
        <v>19.4</v>
      </c>
      <c r="H8" s="39">
        <f t="shared" ref="H8:AF8" si="2">SUM(H9:H10)</f>
        <v>5.4</v>
      </c>
      <c r="I8" s="39">
        <f t="shared" si="2"/>
        <v>0</v>
      </c>
      <c r="J8" s="39">
        <f t="shared" si="2"/>
        <v>0</v>
      </c>
      <c r="K8" s="39">
        <f t="shared" si="2"/>
        <v>0</v>
      </c>
      <c r="L8" s="39">
        <f t="shared" si="2"/>
        <v>2.6</v>
      </c>
      <c r="M8" s="39">
        <f t="shared" si="2"/>
        <v>0</v>
      </c>
      <c r="N8" s="39">
        <f t="shared" si="2"/>
        <v>0</v>
      </c>
      <c r="O8" s="39">
        <f t="shared" si="2"/>
        <v>0</v>
      </c>
      <c r="P8" s="39">
        <f t="shared" si="2"/>
        <v>3.8</v>
      </c>
      <c r="Q8" s="39">
        <f t="shared" si="2"/>
        <v>0</v>
      </c>
      <c r="R8" s="39">
        <f t="shared" si="2"/>
        <v>0.2</v>
      </c>
      <c r="S8" s="39">
        <f t="shared" si="2"/>
        <v>0</v>
      </c>
      <c r="T8" s="39">
        <f t="shared" si="2"/>
        <v>2.8</v>
      </c>
      <c r="U8" s="39">
        <f t="shared" si="2"/>
        <v>2</v>
      </c>
      <c r="V8" s="39">
        <f t="shared" si="2"/>
        <v>6.71</v>
      </c>
      <c r="W8" s="39">
        <f t="shared" si="2"/>
        <v>0</v>
      </c>
      <c r="X8" s="39">
        <f t="shared" si="2"/>
        <v>0</v>
      </c>
      <c r="Y8" s="39">
        <f t="shared" si="2"/>
        <v>0</v>
      </c>
      <c r="Z8" s="39">
        <f t="shared" si="2"/>
        <v>0</v>
      </c>
      <c r="AA8" s="39">
        <f t="shared" si="2"/>
        <v>0</v>
      </c>
      <c r="AB8" s="39">
        <f t="shared" si="2"/>
        <v>0</v>
      </c>
      <c r="AC8" s="39">
        <f t="shared" si="2"/>
        <v>0</v>
      </c>
      <c r="AD8" s="39">
        <f t="shared" si="2"/>
        <v>25.416</v>
      </c>
      <c r="AE8" s="39">
        <f t="shared" si="2"/>
        <v>0</v>
      </c>
      <c r="AF8" s="39">
        <f t="shared" si="2"/>
        <v>17.09</v>
      </c>
      <c r="AG8" s="36"/>
      <c r="AH8" s="36"/>
      <c r="AI8" s="36"/>
    </row>
    <row r="9" ht="22.8" customHeight="1" spans="1:35">
      <c r="A9" s="29" t="s">
        <v>224</v>
      </c>
      <c r="B9" s="29" t="s">
        <v>196</v>
      </c>
      <c r="C9" s="29" t="s">
        <v>196</v>
      </c>
      <c r="D9" s="23" t="s">
        <v>262</v>
      </c>
      <c r="E9" s="5" t="s">
        <v>268</v>
      </c>
      <c r="F9" s="39">
        <f>SUM(G9:AF9)</f>
        <v>20.196</v>
      </c>
      <c r="G9" s="35">
        <v>3</v>
      </c>
      <c r="H9" s="35">
        <v>2.2</v>
      </c>
      <c r="I9" s="35"/>
      <c r="J9" s="35"/>
      <c r="K9" s="35"/>
      <c r="L9" s="35"/>
      <c r="M9" s="35"/>
      <c r="N9" s="35"/>
      <c r="O9" s="35"/>
      <c r="P9" s="35">
        <v>1.8</v>
      </c>
      <c r="Q9" s="35"/>
      <c r="R9" s="35"/>
      <c r="S9" s="35"/>
      <c r="T9" s="35">
        <v>2.8</v>
      </c>
      <c r="U9" s="35"/>
      <c r="V9" s="35">
        <v>2.2</v>
      </c>
      <c r="W9" s="35"/>
      <c r="X9" s="35"/>
      <c r="Y9" s="35"/>
      <c r="Z9" s="35"/>
      <c r="AA9" s="35"/>
      <c r="AB9" s="35"/>
      <c r="AC9" s="35"/>
      <c r="AD9" s="35">
        <v>8.196</v>
      </c>
      <c r="AE9" s="35"/>
      <c r="AF9" s="35"/>
      <c r="AG9" s="36"/>
      <c r="AH9" s="36"/>
      <c r="AI9" s="36"/>
    </row>
    <row r="10" ht="22.8" customHeight="1" spans="1:35">
      <c r="A10" s="38" t="s">
        <v>224</v>
      </c>
      <c r="B10" s="38" t="s">
        <v>196</v>
      </c>
      <c r="C10" s="38" t="s">
        <v>231</v>
      </c>
      <c r="D10" s="23" t="s">
        <v>262</v>
      </c>
      <c r="E10" s="7" t="s">
        <v>261</v>
      </c>
      <c r="F10" s="39">
        <f>SUM(G10:AF10)</f>
        <v>65.22</v>
      </c>
      <c r="G10" s="40">
        <f>10.4+2+2+2</f>
        <v>16.4</v>
      </c>
      <c r="H10" s="40">
        <f>0.2+1+2</f>
        <v>3.2</v>
      </c>
      <c r="I10" s="40"/>
      <c r="J10" s="40"/>
      <c r="K10" s="40"/>
      <c r="L10" s="40">
        <f>2+0.6</f>
        <v>2.6</v>
      </c>
      <c r="M10" s="40"/>
      <c r="N10" s="40"/>
      <c r="O10" s="40"/>
      <c r="P10" s="40">
        <f>1+1</f>
        <v>2</v>
      </c>
      <c r="Q10" s="40"/>
      <c r="R10" s="40">
        <f>0.2</f>
        <v>0.2</v>
      </c>
      <c r="S10" s="40"/>
      <c r="T10" s="40"/>
      <c r="U10" s="40">
        <f>1+1</f>
        <v>2</v>
      </c>
      <c r="V10" s="40">
        <f>2+0.51+1.2+0.8</f>
        <v>4.51</v>
      </c>
      <c r="W10" s="40"/>
      <c r="X10" s="40"/>
      <c r="Y10" s="40"/>
      <c r="Z10" s="40"/>
      <c r="AA10" s="40"/>
      <c r="AB10" s="40"/>
      <c r="AC10" s="40"/>
      <c r="AD10" s="40">
        <f>3.3+6.9+7.02</f>
        <v>17.22</v>
      </c>
      <c r="AE10" s="40"/>
      <c r="AF10" s="41">
        <f>2.49+8.2+6.4</f>
        <v>17.09</v>
      </c>
      <c r="AG10" s="42"/>
      <c r="AH10" s="36"/>
      <c r="AI10" s="36"/>
    </row>
    <row r="11" ht="16.35" customHeight="1" spans="1:35">
      <c r="A11" s="25" t="s">
        <v>332</v>
      </c>
      <c r="B11" s="25"/>
      <c r="C11" s="25"/>
      <c r="D11" s="25"/>
      <c r="E11" s="25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6:35"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</sheetData>
  <mergeCells count="35">
    <mergeCell ref="AE1:AF1"/>
    <mergeCell ref="A2:AF2"/>
    <mergeCell ref="A3:AD3"/>
    <mergeCell ref="AE3:AF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scale="61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opLeftCell="B1" workbookViewId="0">
      <selection activeCell="G12" sqref="G12"/>
    </sheetView>
  </sheetViews>
  <sheetFormatPr defaultColWidth="9.775" defaultRowHeight="14.25"/>
  <cols>
    <col min="1" max="1" width="12.8833333333333" customWidth="1"/>
    <col min="2" max="2" width="29.6666666666667" customWidth="1"/>
    <col min="3" max="3" width="20.775" customWidth="1"/>
    <col min="4" max="4" width="12.3333333333333" customWidth="1"/>
    <col min="5" max="5" width="10.3333333333333" customWidth="1"/>
    <col min="6" max="6" width="14.1083333333333" customWidth="1"/>
    <col min="7" max="8" width="13.6666666666667" customWidth="1"/>
  </cols>
  <sheetData>
    <row r="1" ht="16.35" customHeight="1" spans="1:8">
      <c r="A1" s="1"/>
      <c r="G1" s="19" t="s">
        <v>446</v>
      </c>
      <c r="H1" s="19"/>
    </row>
    <row r="2" ht="33.6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3.25" customHeight="1" spans="1:10">
      <c r="A4" s="4" t="s">
        <v>447</v>
      </c>
      <c r="B4" s="4" t="s">
        <v>448</v>
      </c>
      <c r="C4" s="4" t="s">
        <v>449</v>
      </c>
      <c r="D4" s="4" t="s">
        <v>450</v>
      </c>
      <c r="E4" s="32" t="s">
        <v>451</v>
      </c>
      <c r="F4" s="32"/>
      <c r="G4" s="32"/>
      <c r="H4" s="32" t="s">
        <v>452</v>
      </c>
      <c r="I4" s="36"/>
      <c r="J4" s="36"/>
    </row>
    <row r="5" ht="25.8" customHeight="1" spans="1:10">
      <c r="A5" s="4"/>
      <c r="B5" s="4"/>
      <c r="C5" s="4"/>
      <c r="D5" s="4"/>
      <c r="E5" s="32" t="s">
        <v>138</v>
      </c>
      <c r="F5" s="32" t="s">
        <v>453</v>
      </c>
      <c r="G5" s="32" t="s">
        <v>454</v>
      </c>
      <c r="H5" s="32"/>
      <c r="I5" s="36"/>
      <c r="J5" s="36"/>
    </row>
    <row r="6" ht="22.8" customHeight="1" spans="1:10">
      <c r="A6" s="16"/>
      <c r="B6" s="16" t="s">
        <v>136</v>
      </c>
      <c r="C6" s="15">
        <f>H6</f>
        <v>6.71</v>
      </c>
      <c r="D6" s="15"/>
      <c r="E6" s="33"/>
      <c r="F6" s="33"/>
      <c r="G6" s="33"/>
      <c r="H6" s="33">
        <f>H7</f>
        <v>6.71</v>
      </c>
      <c r="I6" s="36"/>
      <c r="J6" s="36"/>
    </row>
    <row r="7" ht="22.8" customHeight="1" spans="1:10">
      <c r="A7" s="14" t="s">
        <v>154</v>
      </c>
      <c r="B7" s="14" t="s">
        <v>4</v>
      </c>
      <c r="C7" s="15">
        <f>H7</f>
        <v>6.71</v>
      </c>
      <c r="D7" s="15"/>
      <c r="E7" s="33"/>
      <c r="F7" s="33"/>
      <c r="G7" s="33"/>
      <c r="H7" s="33">
        <f>H8</f>
        <v>6.71</v>
      </c>
      <c r="I7" s="36"/>
      <c r="J7" s="36"/>
    </row>
    <row r="8" ht="22.8" customHeight="1" spans="1:10">
      <c r="A8" s="23" t="s">
        <v>155</v>
      </c>
      <c r="B8" s="23" t="s">
        <v>156</v>
      </c>
      <c r="C8" s="27">
        <f>H8</f>
        <v>6.71</v>
      </c>
      <c r="D8" s="27"/>
      <c r="E8" s="34"/>
      <c r="F8" s="35"/>
      <c r="G8" s="35"/>
      <c r="H8" s="35">
        <f>2.2+2+0.51+1.2+0.8</f>
        <v>6.71</v>
      </c>
      <c r="I8" s="36"/>
      <c r="J8" s="36"/>
    </row>
    <row r="9" ht="16.35" customHeight="1" spans="1:10">
      <c r="A9" s="25" t="s">
        <v>332</v>
      </c>
      <c r="B9" s="25"/>
      <c r="C9" s="25"/>
      <c r="E9" s="36"/>
      <c r="F9" s="36"/>
      <c r="G9" s="36"/>
      <c r="H9" s="36"/>
      <c r="I9" s="36"/>
      <c r="J9" s="36"/>
    </row>
    <row r="10" spans="5:10">
      <c r="E10" s="36"/>
      <c r="F10" s="36"/>
      <c r="G10" s="36"/>
      <c r="H10" s="36"/>
      <c r="I10" s="36"/>
      <c r="J10" s="36"/>
    </row>
    <row r="11" spans="5:10">
      <c r="E11" s="36"/>
      <c r="F11" s="36"/>
      <c r="G11" s="36"/>
      <c r="H11" s="36"/>
      <c r="I11" s="36"/>
      <c r="J11" s="36"/>
    </row>
    <row r="12" spans="5:10">
      <c r="E12" s="36"/>
      <c r="F12" s="36"/>
      <c r="G12" s="36"/>
      <c r="H12" s="36"/>
      <c r="I12" s="36"/>
      <c r="J12" s="36"/>
    </row>
    <row r="13" spans="5:10">
      <c r="E13" s="36"/>
      <c r="F13" s="36"/>
      <c r="G13" s="36"/>
      <c r="H13" s="36"/>
      <c r="I13" s="36"/>
      <c r="J13" s="36"/>
    </row>
    <row r="14" spans="5:10">
      <c r="E14" s="36"/>
      <c r="F14" s="36"/>
      <c r="G14" s="36"/>
      <c r="H14" s="36"/>
      <c r="I14" s="36"/>
      <c r="J14" s="36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5" defaultRowHeight="14.25" outlineLevelCol="7"/>
  <cols>
    <col min="1" max="1" width="11.4416666666667" customWidth="1"/>
    <col min="2" max="2" width="24.775" customWidth="1"/>
    <col min="3" max="3" width="16.1083333333333" customWidth="1"/>
    <col min="4" max="4" width="12.8833333333333" customWidth="1"/>
    <col min="5" max="5" width="12.775" customWidth="1"/>
    <col min="6" max="6" width="13.8833333333333" customWidth="1"/>
    <col min="7" max="7" width="14.1083333333333" customWidth="1"/>
    <col min="8" max="8" width="16.3333333333333" customWidth="1"/>
  </cols>
  <sheetData>
    <row r="1" ht="16.35" customHeight="1" spans="1:8">
      <c r="A1" s="1"/>
      <c r="G1" s="19" t="s">
        <v>455</v>
      </c>
      <c r="H1" s="19"/>
    </row>
    <row r="2" ht="38.85" customHeight="1" spans="1:8">
      <c r="A2" s="21" t="s">
        <v>22</v>
      </c>
      <c r="B2" s="21"/>
      <c r="C2" s="21"/>
      <c r="D2" s="21"/>
      <c r="E2" s="21"/>
      <c r="F2" s="21"/>
      <c r="G2" s="21"/>
      <c r="H2" s="21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3.25" customHeight="1" spans="1:8">
      <c r="A4" s="4" t="s">
        <v>169</v>
      </c>
      <c r="B4" s="4" t="s">
        <v>170</v>
      </c>
      <c r="C4" s="4" t="s">
        <v>136</v>
      </c>
      <c r="D4" s="4" t="s">
        <v>456</v>
      </c>
      <c r="E4" s="4"/>
      <c r="F4" s="4"/>
      <c r="G4" s="4"/>
      <c r="H4" s="4" t="s">
        <v>172</v>
      </c>
    </row>
    <row r="5" ht="19.8" customHeight="1" spans="1:8">
      <c r="A5" s="4"/>
      <c r="B5" s="4"/>
      <c r="C5" s="4"/>
      <c r="D5" s="4" t="s">
        <v>138</v>
      </c>
      <c r="E5" s="4" t="s">
        <v>296</v>
      </c>
      <c r="F5" s="4"/>
      <c r="G5" s="4" t="s">
        <v>297</v>
      </c>
      <c r="H5" s="4"/>
    </row>
    <row r="6" ht="27.6" customHeight="1" spans="1:8">
      <c r="A6" s="4"/>
      <c r="B6" s="4"/>
      <c r="C6" s="4"/>
      <c r="D6" s="4"/>
      <c r="E6" s="4" t="s">
        <v>273</v>
      </c>
      <c r="F6" s="4" t="s">
        <v>254</v>
      </c>
      <c r="G6" s="4"/>
      <c r="H6" s="4"/>
    </row>
    <row r="7" ht="22.8" customHeight="1" spans="1:8">
      <c r="A7" s="16"/>
      <c r="B7" s="22" t="s">
        <v>136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6"/>
      <c r="B9" s="26"/>
      <c r="C9" s="15"/>
      <c r="D9" s="15"/>
      <c r="E9" s="15"/>
      <c r="F9" s="15"/>
      <c r="G9" s="15"/>
      <c r="H9" s="15"/>
    </row>
    <row r="10" ht="22.8" customHeight="1" spans="1:8">
      <c r="A10" s="26"/>
      <c r="B10" s="26"/>
      <c r="C10" s="15"/>
      <c r="D10" s="15"/>
      <c r="E10" s="15"/>
      <c r="F10" s="15"/>
      <c r="G10" s="15"/>
      <c r="H10" s="15"/>
    </row>
    <row r="11" ht="22.8" customHeight="1" spans="1:8">
      <c r="A11" s="26"/>
      <c r="B11" s="26"/>
      <c r="C11" s="15"/>
      <c r="D11" s="15"/>
      <c r="E11" s="15"/>
      <c r="F11" s="15"/>
      <c r="G11" s="15"/>
      <c r="H11" s="15"/>
    </row>
    <row r="12" ht="22.8" customHeight="1" spans="1:8">
      <c r="A12" s="23"/>
      <c r="B12" s="23"/>
      <c r="C12" s="6"/>
      <c r="D12" s="6"/>
      <c r="E12" s="27"/>
      <c r="F12" s="27"/>
      <c r="G12" s="27"/>
      <c r="H12" s="27"/>
    </row>
    <row r="13" ht="16.35" customHeight="1" spans="1:3">
      <c r="A13" s="25" t="s">
        <v>332</v>
      </c>
      <c r="B13" s="25"/>
      <c r="C13" s="25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0"/>
  <sheetViews>
    <sheetView workbookViewId="0">
      <selection activeCell="A1" sqref="A1"/>
    </sheetView>
  </sheetViews>
  <sheetFormatPr defaultColWidth="9.775" defaultRowHeight="14.25"/>
  <cols>
    <col min="1" max="1" width="4.44166666666667" customWidth="1"/>
    <col min="2" max="2" width="4.775" customWidth="1"/>
    <col min="3" max="3" width="5" customWidth="1"/>
    <col min="4" max="4" width="6.66666666666667" customWidth="1"/>
    <col min="5" max="5" width="16.4416666666667" customWidth="1"/>
    <col min="6" max="6" width="11.775" customWidth="1"/>
    <col min="7" max="20" width="7.21666666666667" customWidth="1"/>
    <col min="21" max="21" width="9.775" customWidth="1"/>
  </cols>
  <sheetData>
    <row r="1" ht="16.35" customHeight="1" spans="1:20">
      <c r="A1" s="1"/>
      <c r="S1" s="19" t="s">
        <v>457</v>
      </c>
      <c r="T1" s="19"/>
    </row>
    <row r="2" ht="47.4" customHeight="1" spans="1:17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8.05" customHeight="1" spans="1:20">
      <c r="A4" s="4" t="s">
        <v>168</v>
      </c>
      <c r="B4" s="4"/>
      <c r="C4" s="4"/>
      <c r="D4" s="4" t="s">
        <v>243</v>
      </c>
      <c r="E4" s="4" t="s">
        <v>244</v>
      </c>
      <c r="F4" s="4" t="s">
        <v>245</v>
      </c>
      <c r="G4" s="4" t="s">
        <v>246</v>
      </c>
      <c r="H4" s="4" t="s">
        <v>247</v>
      </c>
      <c r="I4" s="4" t="s">
        <v>248</v>
      </c>
      <c r="J4" s="4" t="s">
        <v>249</v>
      </c>
      <c r="K4" s="4" t="s">
        <v>250</v>
      </c>
      <c r="L4" s="4" t="s">
        <v>251</v>
      </c>
      <c r="M4" s="4" t="s">
        <v>252</v>
      </c>
      <c r="N4" s="4" t="s">
        <v>253</v>
      </c>
      <c r="O4" s="4" t="s">
        <v>254</v>
      </c>
      <c r="P4" s="4" t="s">
        <v>255</v>
      </c>
      <c r="Q4" s="4" t="s">
        <v>256</v>
      </c>
      <c r="R4" s="4" t="s">
        <v>257</v>
      </c>
      <c r="S4" s="4" t="s">
        <v>258</v>
      </c>
      <c r="T4" s="4" t="s">
        <v>259</v>
      </c>
    </row>
    <row r="5" ht="20.25" customHeight="1" spans="1:20">
      <c r="A5" s="4" t="s">
        <v>176</v>
      </c>
      <c r="B5" s="4" t="s">
        <v>177</v>
      </c>
      <c r="C5" s="4" t="s">
        <v>178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8"/>
      <c r="B8" s="28"/>
      <c r="C8" s="28"/>
      <c r="D8" s="26"/>
      <c r="E8" s="2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9"/>
      <c r="B9" s="29"/>
      <c r="C9" s="29"/>
      <c r="D9" s="23"/>
      <c r="E9" s="30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</row>
    <row r="10" ht="16.35" customHeight="1" spans="1:6">
      <c r="A10" s="25" t="s">
        <v>332</v>
      </c>
      <c r="B10" s="25"/>
      <c r="C10" s="25"/>
      <c r="D10" s="25"/>
      <c r="E10" s="25"/>
      <c r="F10" s="25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6"/>
  <sheetViews>
    <sheetView workbookViewId="0">
      <selection activeCell="A1" sqref="A1"/>
    </sheetView>
  </sheetViews>
  <sheetFormatPr defaultColWidth="9.775" defaultRowHeight="14.25" outlineLevelCol="2"/>
  <cols>
    <col min="1" max="1" width="6.33333333333333" customWidth="1"/>
    <col min="2" max="2" width="9.88333333333333" customWidth="1"/>
    <col min="3" max="3" width="52.3333333333333" customWidth="1"/>
  </cols>
  <sheetData>
    <row r="1" ht="32.7" customHeight="1" spans="1:3">
      <c r="A1" s="1"/>
      <c r="B1" s="12" t="s">
        <v>5</v>
      </c>
      <c r="C1" s="12"/>
    </row>
    <row r="2" ht="25.05" customHeight="1" spans="2:3">
      <c r="B2" s="12"/>
      <c r="C2" s="12"/>
    </row>
    <row r="3" ht="31.05" customHeight="1" spans="2:3">
      <c r="B3" s="102" t="s">
        <v>6</v>
      </c>
      <c r="C3" s="102"/>
    </row>
    <row r="4" ht="32.55" customHeight="1" spans="2:3">
      <c r="B4" s="103">
        <v>1</v>
      </c>
      <c r="C4" s="104" t="s">
        <v>7</v>
      </c>
    </row>
    <row r="5" ht="32.55" customHeight="1" spans="2:3">
      <c r="B5" s="103">
        <v>2</v>
      </c>
      <c r="C5" s="105" t="s">
        <v>8</v>
      </c>
    </row>
    <row r="6" ht="32.55" customHeight="1" spans="2:3">
      <c r="B6" s="103">
        <v>3</v>
      </c>
      <c r="C6" s="104" t="s">
        <v>9</v>
      </c>
    </row>
    <row r="7" ht="32.55" customHeight="1" spans="2:3">
      <c r="B7" s="103">
        <v>4</v>
      </c>
      <c r="C7" s="104" t="s">
        <v>10</v>
      </c>
    </row>
    <row r="8" ht="32.55" customHeight="1" spans="2:3">
      <c r="B8" s="103">
        <v>5</v>
      </c>
      <c r="C8" s="104" t="s">
        <v>11</v>
      </c>
    </row>
    <row r="9" ht="32.55" customHeight="1" spans="2:3">
      <c r="B9" s="103">
        <v>6</v>
      </c>
      <c r="C9" s="104" t="s">
        <v>12</v>
      </c>
    </row>
    <row r="10" ht="32.55" customHeight="1" spans="2:3">
      <c r="B10" s="103">
        <v>7</v>
      </c>
      <c r="C10" s="104" t="s">
        <v>13</v>
      </c>
    </row>
    <row r="11" ht="32.55" customHeight="1" spans="2:3">
      <c r="B11" s="103">
        <v>8</v>
      </c>
      <c r="C11" s="104" t="s">
        <v>14</v>
      </c>
    </row>
    <row r="12" ht="32.55" customHeight="1" spans="2:3">
      <c r="B12" s="103">
        <v>9</v>
      </c>
      <c r="C12" s="104" t="s">
        <v>15</v>
      </c>
    </row>
    <row r="13" ht="32.55" customHeight="1" spans="2:3">
      <c r="B13" s="103">
        <v>10</v>
      </c>
      <c r="C13" s="104" t="s">
        <v>16</v>
      </c>
    </row>
    <row r="14" ht="32.55" customHeight="1" spans="2:3">
      <c r="B14" s="103">
        <v>11</v>
      </c>
      <c r="C14" s="104" t="s">
        <v>17</v>
      </c>
    </row>
    <row r="15" ht="32.55" customHeight="1" spans="2:3">
      <c r="B15" s="103">
        <v>12</v>
      </c>
      <c r="C15" s="104" t="s">
        <v>18</v>
      </c>
    </row>
    <row r="16" ht="32.55" customHeight="1" spans="2:3">
      <c r="B16" s="103">
        <v>13</v>
      </c>
      <c r="C16" s="104" t="s">
        <v>19</v>
      </c>
    </row>
    <row r="17" ht="32.55" customHeight="1" spans="2:3">
      <c r="B17" s="103">
        <v>14</v>
      </c>
      <c r="C17" s="104" t="s">
        <v>20</v>
      </c>
    </row>
    <row r="18" ht="32.55" customHeight="1" spans="2:3">
      <c r="B18" s="103">
        <v>15</v>
      </c>
      <c r="C18" s="104" t="s">
        <v>21</v>
      </c>
    </row>
    <row r="19" ht="32.55" customHeight="1" spans="2:3">
      <c r="B19" s="103">
        <v>16</v>
      </c>
      <c r="C19" s="104" t="s">
        <v>22</v>
      </c>
    </row>
    <row r="20" ht="32.55" customHeight="1" spans="2:3">
      <c r="B20" s="103">
        <v>17</v>
      </c>
      <c r="C20" s="104" t="s">
        <v>23</v>
      </c>
    </row>
    <row r="21" ht="32.55" customHeight="1" spans="2:3">
      <c r="B21" s="103">
        <v>18</v>
      </c>
      <c r="C21" s="104" t="s">
        <v>24</v>
      </c>
    </row>
    <row r="22" ht="32.55" customHeight="1" spans="2:3">
      <c r="B22" s="103">
        <v>19</v>
      </c>
      <c r="C22" s="104" t="s">
        <v>25</v>
      </c>
    </row>
    <row r="23" ht="32.55" customHeight="1" spans="2:3">
      <c r="B23" s="103">
        <v>20</v>
      </c>
      <c r="C23" s="104" t="s">
        <v>26</v>
      </c>
    </row>
    <row r="24" ht="32.55" customHeight="1" spans="2:3">
      <c r="B24" s="103">
        <v>21</v>
      </c>
      <c r="C24" s="104" t="s">
        <v>27</v>
      </c>
    </row>
    <row r="25" ht="32.55" customHeight="1" spans="2:3">
      <c r="B25" s="103">
        <v>22</v>
      </c>
      <c r="C25" s="104" t="s">
        <v>28</v>
      </c>
    </row>
    <row r="26" ht="32.55" customHeight="1" spans="2:3">
      <c r="B26" s="103">
        <v>23</v>
      </c>
      <c r="C26" s="104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scale="96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topLeftCell="A5" workbookViewId="0">
      <selection activeCell="A1" sqref="A1"/>
    </sheetView>
  </sheetViews>
  <sheetFormatPr defaultColWidth="9.775" defaultRowHeight="14.25"/>
  <cols>
    <col min="1" max="1" width="3.775" customWidth="1"/>
    <col min="2" max="3" width="3.88333333333333" customWidth="1"/>
    <col min="4" max="4" width="6.775" customWidth="1"/>
    <col min="5" max="5" width="15.8833333333333" customWidth="1"/>
    <col min="6" max="6" width="9.21666666666667" customWidth="1"/>
    <col min="7" max="20" width="7.21666666666667" customWidth="1"/>
    <col min="21" max="21" width="9.775" customWidth="1"/>
  </cols>
  <sheetData>
    <row r="1" ht="16.35" customHeight="1" spans="1:20">
      <c r="A1" s="1"/>
      <c r="S1" s="19" t="s">
        <v>458</v>
      </c>
      <c r="T1" s="19"/>
    </row>
    <row r="2" ht="47.4" customHeight="1" spans="1:20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1.6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29.25" customHeight="1" spans="1:20">
      <c r="A4" s="4" t="s">
        <v>168</v>
      </c>
      <c r="B4" s="4"/>
      <c r="C4" s="4"/>
      <c r="D4" s="4" t="s">
        <v>243</v>
      </c>
      <c r="E4" s="4" t="s">
        <v>244</v>
      </c>
      <c r="F4" s="4" t="s">
        <v>272</v>
      </c>
      <c r="G4" s="4" t="s">
        <v>171</v>
      </c>
      <c r="H4" s="4"/>
      <c r="I4" s="4"/>
      <c r="J4" s="4"/>
      <c r="K4" s="4" t="s">
        <v>172</v>
      </c>
      <c r="L4" s="4"/>
      <c r="M4" s="4"/>
      <c r="N4" s="4"/>
      <c r="O4" s="4"/>
      <c r="P4" s="4"/>
      <c r="Q4" s="4"/>
      <c r="R4" s="4"/>
      <c r="S4" s="4"/>
      <c r="T4" s="4"/>
    </row>
    <row r="5" ht="49.95" customHeight="1" spans="1:20">
      <c r="A5" s="4" t="s">
        <v>176</v>
      </c>
      <c r="B5" s="4" t="s">
        <v>177</v>
      </c>
      <c r="C5" s="4" t="s">
        <v>178</v>
      </c>
      <c r="D5" s="4"/>
      <c r="E5" s="4"/>
      <c r="F5" s="4"/>
      <c r="G5" s="4" t="s">
        <v>136</v>
      </c>
      <c r="H5" s="4" t="s">
        <v>273</v>
      </c>
      <c r="I5" s="4" t="s">
        <v>274</v>
      </c>
      <c r="J5" s="4" t="s">
        <v>254</v>
      </c>
      <c r="K5" s="4" t="s">
        <v>136</v>
      </c>
      <c r="L5" s="4" t="s">
        <v>276</v>
      </c>
      <c r="M5" s="4" t="s">
        <v>277</v>
      </c>
      <c r="N5" s="4" t="s">
        <v>256</v>
      </c>
      <c r="O5" s="4" t="s">
        <v>278</v>
      </c>
      <c r="P5" s="4" t="s">
        <v>279</v>
      </c>
      <c r="Q5" s="4" t="s">
        <v>280</v>
      </c>
      <c r="R5" s="4" t="s">
        <v>252</v>
      </c>
      <c r="S5" s="4" t="s">
        <v>255</v>
      </c>
      <c r="T5" s="4" t="s">
        <v>259</v>
      </c>
    </row>
    <row r="6" ht="22.8" customHeight="1" spans="1:20">
      <c r="A6" s="16"/>
      <c r="B6" s="16"/>
      <c r="C6" s="16"/>
      <c r="D6" s="16"/>
      <c r="E6" s="16" t="s">
        <v>136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8"/>
      <c r="B8" s="28"/>
      <c r="C8" s="28"/>
      <c r="D8" s="26"/>
      <c r="E8" s="26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29"/>
      <c r="B9" s="29"/>
      <c r="C9" s="29"/>
      <c r="D9" s="23"/>
      <c r="E9" s="30"/>
      <c r="F9" s="2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25" t="s">
        <v>332</v>
      </c>
      <c r="B10" s="25"/>
      <c r="C10" s="25"/>
      <c r="D10" s="25"/>
      <c r="E10" s="25"/>
      <c r="F10" s="25"/>
      <c r="G10" s="25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5" defaultRowHeight="14.25" outlineLevelCol="7"/>
  <cols>
    <col min="1" max="1" width="11.1083333333333" customWidth="1"/>
    <col min="2" max="2" width="25.3333333333333" customWidth="1"/>
    <col min="3" max="3" width="15.3333333333333" customWidth="1"/>
    <col min="4" max="4" width="12.775" customWidth="1"/>
    <col min="5" max="5" width="16.4416666666667" customWidth="1"/>
    <col min="6" max="6" width="14.1083333333333" customWidth="1"/>
    <col min="7" max="7" width="15.3333333333333" customWidth="1"/>
    <col min="8" max="8" width="17.6666666666667" customWidth="1"/>
  </cols>
  <sheetData>
    <row r="1" ht="16.35" customHeight="1" spans="1:8">
      <c r="A1" s="1"/>
      <c r="H1" s="19" t="s">
        <v>459</v>
      </c>
    </row>
    <row r="2" ht="38.85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19.8" customHeight="1" spans="1:8">
      <c r="A4" s="4" t="s">
        <v>169</v>
      </c>
      <c r="B4" s="4" t="s">
        <v>170</v>
      </c>
      <c r="C4" s="4" t="s">
        <v>136</v>
      </c>
      <c r="D4" s="4" t="s">
        <v>460</v>
      </c>
      <c r="E4" s="4"/>
      <c r="F4" s="4"/>
      <c r="G4" s="4"/>
      <c r="H4" s="4" t="s">
        <v>172</v>
      </c>
    </row>
    <row r="5" ht="23.25" customHeight="1" spans="1:8">
      <c r="A5" s="4"/>
      <c r="B5" s="4"/>
      <c r="C5" s="4"/>
      <c r="D5" s="4" t="s">
        <v>138</v>
      </c>
      <c r="E5" s="4" t="s">
        <v>296</v>
      </c>
      <c r="F5" s="4"/>
      <c r="G5" s="4" t="s">
        <v>297</v>
      </c>
      <c r="H5" s="4"/>
    </row>
    <row r="6" ht="23.25" customHeight="1" spans="1:8">
      <c r="A6" s="4"/>
      <c r="B6" s="4"/>
      <c r="C6" s="4"/>
      <c r="D6" s="4"/>
      <c r="E6" s="4" t="s">
        <v>273</v>
      </c>
      <c r="F6" s="4" t="s">
        <v>254</v>
      </c>
      <c r="G6" s="4"/>
      <c r="H6" s="4"/>
    </row>
    <row r="7" ht="22.8" customHeight="1" spans="1:8">
      <c r="A7" s="16"/>
      <c r="B7" s="22" t="s">
        <v>136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6"/>
      <c r="B9" s="26"/>
      <c r="C9" s="15"/>
      <c r="D9" s="15"/>
      <c r="E9" s="15"/>
      <c r="F9" s="15"/>
      <c r="G9" s="15"/>
      <c r="H9" s="15"/>
    </row>
    <row r="10" ht="22.8" customHeight="1" spans="1:8">
      <c r="A10" s="26"/>
      <c r="B10" s="26"/>
      <c r="C10" s="15"/>
      <c r="D10" s="15"/>
      <c r="E10" s="15"/>
      <c r="F10" s="15"/>
      <c r="G10" s="15"/>
      <c r="H10" s="15"/>
    </row>
    <row r="11" ht="22.8" customHeight="1" spans="1:8">
      <c r="A11" s="26"/>
      <c r="B11" s="26"/>
      <c r="C11" s="15"/>
      <c r="D11" s="15"/>
      <c r="E11" s="15"/>
      <c r="F11" s="15"/>
      <c r="G11" s="15"/>
      <c r="H11" s="15"/>
    </row>
    <row r="12" ht="22.8" customHeight="1" spans="1:8">
      <c r="A12" s="23"/>
      <c r="B12" s="23"/>
      <c r="C12" s="6"/>
      <c r="D12" s="6"/>
      <c r="E12" s="27"/>
      <c r="F12" s="27"/>
      <c r="G12" s="27"/>
      <c r="H12" s="27"/>
    </row>
    <row r="13" ht="16.35" customHeight="1" spans="1:3">
      <c r="A13" s="25" t="s">
        <v>332</v>
      </c>
      <c r="B13" s="25"/>
      <c r="C13" s="25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9.775" defaultRowHeight="14.25" outlineLevelCol="7"/>
  <cols>
    <col min="1" max="1" width="10.6666666666667" customWidth="1"/>
    <col min="2" max="2" width="22.775" customWidth="1"/>
    <col min="3" max="3" width="19.2166666666667" customWidth="1"/>
    <col min="4" max="4" width="16.6666666666667" customWidth="1"/>
    <col min="5" max="6" width="16.4416666666667" customWidth="1"/>
    <col min="7" max="8" width="17.6666666666667" customWidth="1"/>
  </cols>
  <sheetData>
    <row r="1" ht="16.35" customHeight="1" spans="1:8">
      <c r="A1" s="1"/>
      <c r="H1" s="19" t="s">
        <v>461</v>
      </c>
    </row>
    <row r="2" ht="38.85" customHeight="1" spans="1:8">
      <c r="A2" s="21" t="s">
        <v>26</v>
      </c>
      <c r="B2" s="21"/>
      <c r="C2" s="21"/>
      <c r="D2" s="21"/>
      <c r="E2" s="21"/>
      <c r="F2" s="21"/>
      <c r="G2" s="21"/>
      <c r="H2" s="21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11" t="s">
        <v>32</v>
      </c>
    </row>
    <row r="4" ht="20.7" customHeight="1" spans="1:8">
      <c r="A4" s="4" t="s">
        <v>169</v>
      </c>
      <c r="B4" s="4" t="s">
        <v>170</v>
      </c>
      <c r="C4" s="4" t="s">
        <v>136</v>
      </c>
      <c r="D4" s="4" t="s">
        <v>462</v>
      </c>
      <c r="E4" s="4"/>
      <c r="F4" s="4"/>
      <c r="G4" s="4"/>
      <c r="H4" s="4" t="s">
        <v>172</v>
      </c>
    </row>
    <row r="5" ht="18.9" customHeight="1" spans="1:8">
      <c r="A5" s="4"/>
      <c r="B5" s="4"/>
      <c r="C5" s="4"/>
      <c r="D5" s="4" t="s">
        <v>138</v>
      </c>
      <c r="E5" s="4" t="s">
        <v>296</v>
      </c>
      <c r="F5" s="4"/>
      <c r="G5" s="4" t="s">
        <v>297</v>
      </c>
      <c r="H5" s="4"/>
    </row>
    <row r="6" ht="24.15" customHeight="1" spans="1:8">
      <c r="A6" s="4"/>
      <c r="B6" s="4"/>
      <c r="C6" s="4"/>
      <c r="D6" s="4"/>
      <c r="E6" s="4" t="s">
        <v>273</v>
      </c>
      <c r="F6" s="4" t="s">
        <v>254</v>
      </c>
      <c r="G6" s="4"/>
      <c r="H6" s="4"/>
    </row>
    <row r="7" ht="22.8" customHeight="1" spans="1:8">
      <c r="A7" s="16"/>
      <c r="B7" s="22" t="s">
        <v>136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26"/>
      <c r="B9" s="26"/>
      <c r="C9" s="15"/>
      <c r="D9" s="15"/>
      <c r="E9" s="15"/>
      <c r="F9" s="15"/>
      <c r="G9" s="15"/>
      <c r="H9" s="15"/>
    </row>
    <row r="10" ht="22.8" customHeight="1" spans="1:8">
      <c r="A10" s="26"/>
      <c r="B10" s="26"/>
      <c r="C10" s="15"/>
      <c r="D10" s="15"/>
      <c r="E10" s="15"/>
      <c r="F10" s="15"/>
      <c r="G10" s="15"/>
      <c r="H10" s="15"/>
    </row>
    <row r="11" ht="22.8" customHeight="1" spans="1:8">
      <c r="A11" s="26"/>
      <c r="B11" s="26"/>
      <c r="C11" s="15"/>
      <c r="D11" s="15"/>
      <c r="E11" s="15"/>
      <c r="F11" s="15"/>
      <c r="G11" s="15"/>
      <c r="H11" s="15"/>
    </row>
    <row r="12" ht="22.8" customHeight="1" spans="1:8">
      <c r="A12" s="23"/>
      <c r="B12" s="23"/>
      <c r="C12" s="6"/>
      <c r="D12" s="6"/>
      <c r="E12" s="27"/>
      <c r="F12" s="27"/>
      <c r="G12" s="27"/>
      <c r="H12" s="27"/>
    </row>
    <row r="13" ht="16.35" customHeight="1" spans="1:4">
      <c r="A13" s="25" t="s">
        <v>332</v>
      </c>
      <c r="B13" s="25"/>
      <c r="C13" s="25"/>
      <c r="D13" s="25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workbookViewId="0">
      <selection activeCell="C8" sqref="C8"/>
    </sheetView>
  </sheetViews>
  <sheetFormatPr defaultColWidth="9.775" defaultRowHeight="14.25"/>
  <cols>
    <col min="1" max="1" width="10" customWidth="1"/>
    <col min="2" max="2" width="21.6666666666667" customWidth="1"/>
    <col min="3" max="3" width="13.3333333333333" customWidth="1"/>
    <col min="4" max="14" width="7.66666666666667" customWidth="1"/>
    <col min="15" max="17" width="9.775" customWidth="1"/>
  </cols>
  <sheetData>
    <row r="1" ht="16.35" customHeight="1" spans="1:14">
      <c r="A1" s="1"/>
      <c r="M1" s="19" t="s">
        <v>463</v>
      </c>
      <c r="N1" s="19"/>
    </row>
    <row r="2" ht="45.75" customHeight="1" spans="1:14">
      <c r="A2" s="21" t="s">
        <v>27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18.15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32</v>
      </c>
      <c r="N3" s="11"/>
    </row>
    <row r="4" ht="26.1" customHeight="1" spans="1:14">
      <c r="A4" s="4" t="s">
        <v>243</v>
      </c>
      <c r="B4" s="4" t="s">
        <v>464</v>
      </c>
      <c r="C4" s="4" t="s">
        <v>465</v>
      </c>
      <c r="D4" s="4"/>
      <c r="E4" s="4"/>
      <c r="F4" s="4"/>
      <c r="G4" s="4"/>
      <c r="H4" s="4"/>
      <c r="I4" s="4"/>
      <c r="J4" s="4"/>
      <c r="K4" s="4"/>
      <c r="L4" s="4"/>
      <c r="M4" s="4" t="s">
        <v>466</v>
      </c>
      <c r="N4" s="4"/>
    </row>
    <row r="5" ht="31.95" customHeight="1" spans="1:14">
      <c r="A5" s="4"/>
      <c r="B5" s="4"/>
      <c r="C5" s="4" t="s">
        <v>467</v>
      </c>
      <c r="D5" s="4" t="s">
        <v>139</v>
      </c>
      <c r="E5" s="4"/>
      <c r="F5" s="4"/>
      <c r="G5" s="4"/>
      <c r="H5" s="4"/>
      <c r="I5" s="4"/>
      <c r="J5" s="4" t="s">
        <v>468</v>
      </c>
      <c r="K5" s="4" t="s">
        <v>141</v>
      </c>
      <c r="L5" s="4" t="s">
        <v>142</v>
      </c>
      <c r="M5" s="4" t="s">
        <v>469</v>
      </c>
      <c r="N5" s="4" t="s">
        <v>470</v>
      </c>
    </row>
    <row r="6" ht="44.85" customHeight="1" spans="1:14">
      <c r="A6" s="4"/>
      <c r="B6" s="4"/>
      <c r="C6" s="4"/>
      <c r="D6" s="4" t="s">
        <v>471</v>
      </c>
      <c r="E6" s="4" t="s">
        <v>472</v>
      </c>
      <c r="F6" s="4" t="s">
        <v>473</v>
      </c>
      <c r="G6" s="4" t="s">
        <v>474</v>
      </c>
      <c r="H6" s="4" t="s">
        <v>475</v>
      </c>
      <c r="I6" s="4" t="s">
        <v>476</v>
      </c>
      <c r="J6" s="4"/>
      <c r="K6" s="4"/>
      <c r="L6" s="4"/>
      <c r="M6" s="4"/>
      <c r="N6" s="4"/>
    </row>
    <row r="7" ht="22.8" customHeight="1" spans="1:14">
      <c r="A7" s="16"/>
      <c r="B7" s="22" t="s">
        <v>136</v>
      </c>
      <c r="C7" s="15">
        <f>C8</f>
        <v>232.5</v>
      </c>
      <c r="D7" s="15">
        <f t="shared" ref="D7:N7" si="0">D8</f>
        <v>232.5</v>
      </c>
      <c r="E7" s="15">
        <f t="shared" si="0"/>
        <v>232.5</v>
      </c>
      <c r="F7" s="15">
        <f t="shared" si="0"/>
        <v>0</v>
      </c>
      <c r="G7" s="15">
        <f t="shared" si="0"/>
        <v>0</v>
      </c>
      <c r="H7" s="15">
        <f t="shared" si="0"/>
        <v>0</v>
      </c>
      <c r="I7" s="15">
        <f t="shared" si="0"/>
        <v>0</v>
      </c>
      <c r="J7" s="15">
        <f t="shared" si="0"/>
        <v>0</v>
      </c>
      <c r="K7" s="15">
        <f t="shared" si="0"/>
        <v>0</v>
      </c>
      <c r="L7" s="15">
        <f t="shared" si="0"/>
        <v>0</v>
      </c>
      <c r="M7" s="15">
        <f t="shared" si="0"/>
        <v>232.5</v>
      </c>
      <c r="N7" s="15">
        <f t="shared" si="0"/>
        <v>0</v>
      </c>
    </row>
    <row r="8" ht="22.8" customHeight="1" spans="1:14">
      <c r="A8" s="14" t="s">
        <v>154</v>
      </c>
      <c r="B8" s="14" t="s">
        <v>4</v>
      </c>
      <c r="C8" s="15">
        <f>SUM(C9:C15)</f>
        <v>232.5</v>
      </c>
      <c r="D8" s="15">
        <f t="shared" ref="D8:N8" si="1">SUM(D9:D15)</f>
        <v>232.5</v>
      </c>
      <c r="E8" s="15">
        <f t="shared" si="1"/>
        <v>232.5</v>
      </c>
      <c r="F8" s="15">
        <f t="shared" si="1"/>
        <v>0</v>
      </c>
      <c r="G8" s="15">
        <f t="shared" si="1"/>
        <v>0</v>
      </c>
      <c r="H8" s="15">
        <f t="shared" si="1"/>
        <v>0</v>
      </c>
      <c r="I8" s="15">
        <f t="shared" si="1"/>
        <v>0</v>
      </c>
      <c r="J8" s="15">
        <f t="shared" si="1"/>
        <v>0</v>
      </c>
      <c r="K8" s="15">
        <f t="shared" si="1"/>
        <v>0</v>
      </c>
      <c r="L8" s="15">
        <f t="shared" si="1"/>
        <v>0</v>
      </c>
      <c r="M8" s="15">
        <f t="shared" si="1"/>
        <v>232.5</v>
      </c>
      <c r="N8" s="15">
        <f t="shared" si="1"/>
        <v>0</v>
      </c>
    </row>
    <row r="9" ht="22.8" customHeight="1" spans="1:14">
      <c r="A9" s="23" t="s">
        <v>477</v>
      </c>
      <c r="B9" s="23" t="s">
        <v>478</v>
      </c>
      <c r="C9" s="6">
        <v>42</v>
      </c>
      <c r="D9" s="6">
        <v>42</v>
      </c>
      <c r="E9" s="6">
        <v>42</v>
      </c>
      <c r="F9" s="6"/>
      <c r="G9" s="6"/>
      <c r="H9" s="6"/>
      <c r="I9" s="6"/>
      <c r="J9" s="6"/>
      <c r="K9" s="6"/>
      <c r="L9" s="6"/>
      <c r="M9" s="6">
        <v>42</v>
      </c>
      <c r="N9" s="5"/>
    </row>
    <row r="10" ht="22.8" customHeight="1" spans="1:14">
      <c r="A10" s="23" t="s">
        <v>477</v>
      </c>
      <c r="B10" s="23" t="s">
        <v>479</v>
      </c>
      <c r="C10" s="6">
        <v>32</v>
      </c>
      <c r="D10" s="6">
        <v>32</v>
      </c>
      <c r="E10" s="6">
        <v>32</v>
      </c>
      <c r="F10" s="6"/>
      <c r="G10" s="6"/>
      <c r="H10" s="6"/>
      <c r="I10" s="6"/>
      <c r="J10" s="6"/>
      <c r="K10" s="6"/>
      <c r="L10" s="6"/>
      <c r="M10" s="6">
        <v>32</v>
      </c>
      <c r="N10" s="5"/>
    </row>
    <row r="11" ht="22.8" customHeight="1" spans="1:14">
      <c r="A11" s="23" t="s">
        <v>477</v>
      </c>
      <c r="B11" s="23" t="s">
        <v>480</v>
      </c>
      <c r="C11" s="6">
        <v>18</v>
      </c>
      <c r="D11" s="6">
        <v>18</v>
      </c>
      <c r="E11" s="6">
        <v>18</v>
      </c>
      <c r="F11" s="6"/>
      <c r="G11" s="6"/>
      <c r="H11" s="6"/>
      <c r="I11" s="6"/>
      <c r="J11" s="6"/>
      <c r="K11" s="6"/>
      <c r="L11" s="6"/>
      <c r="M11" s="6">
        <v>18</v>
      </c>
      <c r="N11" s="5"/>
    </row>
    <row r="12" ht="22.8" customHeight="1" spans="1:14">
      <c r="A12" s="23" t="s">
        <v>477</v>
      </c>
      <c r="B12" s="23" t="s">
        <v>481</v>
      </c>
      <c r="C12" s="6">
        <v>79</v>
      </c>
      <c r="D12" s="6">
        <v>79</v>
      </c>
      <c r="E12" s="6">
        <v>79</v>
      </c>
      <c r="F12" s="6"/>
      <c r="G12" s="6"/>
      <c r="H12" s="6"/>
      <c r="I12" s="6"/>
      <c r="J12" s="6"/>
      <c r="K12" s="6"/>
      <c r="L12" s="6"/>
      <c r="M12" s="6">
        <v>79</v>
      </c>
      <c r="N12" s="5"/>
    </row>
    <row r="13" ht="22.8" customHeight="1" spans="1:14">
      <c r="A13" s="23" t="s">
        <v>477</v>
      </c>
      <c r="B13" s="23" t="s">
        <v>482</v>
      </c>
      <c r="C13" s="6">
        <v>30</v>
      </c>
      <c r="D13" s="6">
        <v>30</v>
      </c>
      <c r="E13" s="6">
        <v>30</v>
      </c>
      <c r="F13" s="6"/>
      <c r="G13" s="6"/>
      <c r="H13" s="6"/>
      <c r="I13" s="6"/>
      <c r="J13" s="6"/>
      <c r="K13" s="6"/>
      <c r="L13" s="6"/>
      <c r="M13" s="6">
        <v>30</v>
      </c>
      <c r="N13" s="5"/>
    </row>
    <row r="14" s="20" customFormat="1" ht="19.9" customHeight="1" spans="1:14">
      <c r="A14" s="24" t="s">
        <v>483</v>
      </c>
      <c r="B14" s="24" t="s">
        <v>484</v>
      </c>
      <c r="C14" s="8">
        <v>7</v>
      </c>
      <c r="D14" s="8">
        <v>7</v>
      </c>
      <c r="E14" s="8">
        <v>7</v>
      </c>
      <c r="F14" s="8"/>
      <c r="G14" s="8"/>
      <c r="H14" s="8"/>
      <c r="I14" s="8"/>
      <c r="J14" s="8"/>
      <c r="K14" s="8"/>
      <c r="L14" s="8"/>
      <c r="M14" s="8">
        <v>7</v>
      </c>
      <c r="N14" s="7"/>
    </row>
    <row r="15" s="20" customFormat="1" ht="19.9" customHeight="1" spans="1:14">
      <c r="A15" s="24" t="s">
        <v>485</v>
      </c>
      <c r="B15" s="24" t="s">
        <v>486</v>
      </c>
      <c r="C15" s="8">
        <v>24.5</v>
      </c>
      <c r="D15" s="8">
        <v>24.5</v>
      </c>
      <c r="E15" s="8">
        <v>24.5</v>
      </c>
      <c r="F15" s="8"/>
      <c r="G15" s="8"/>
      <c r="H15" s="8"/>
      <c r="I15" s="8"/>
      <c r="J15" s="8"/>
      <c r="K15" s="8"/>
      <c r="L15" s="8"/>
      <c r="M15" s="8">
        <v>24.5</v>
      </c>
      <c r="N15" s="7"/>
    </row>
    <row r="16" ht="16.35" customHeight="1" spans="1:4">
      <c r="A16" s="25" t="s">
        <v>332</v>
      </c>
      <c r="B16" s="25"/>
      <c r="C16" s="25"/>
      <c r="D16" s="25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6:D16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"/>
  <sheetViews>
    <sheetView workbookViewId="0">
      <pane ySplit="5" topLeftCell="A17" activePane="bottomLeft" state="frozen"/>
      <selection/>
      <selection pane="bottomLeft" activeCell="C7" sqref="C7:C17"/>
    </sheetView>
  </sheetViews>
  <sheetFormatPr defaultColWidth="9.775" defaultRowHeight="14.25"/>
  <cols>
    <col min="1" max="1" width="6.775" customWidth="1"/>
    <col min="2" max="2" width="15.1083333333333" customWidth="1"/>
    <col min="3" max="3" width="8.55833333333333" customWidth="1"/>
    <col min="4" max="4" width="12.2166666666667" customWidth="1"/>
    <col min="5" max="5" width="7.44166666666667" customWidth="1"/>
    <col min="6" max="6" width="8.10833333333333" customWidth="1"/>
    <col min="7" max="7" width="11.2166666666667" customWidth="1"/>
    <col min="8" max="8" width="18.2166666666667" customWidth="1"/>
    <col min="9" max="9" width="9.44166666666667" customWidth="1"/>
    <col min="10" max="10" width="9" customWidth="1"/>
    <col min="11" max="11" width="8.10833333333333" customWidth="1"/>
    <col min="12" max="12" width="9.775" customWidth="1"/>
    <col min="13" max="13" width="16.775" customWidth="1"/>
    <col min="14" max="16" width="9.775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9" t="s">
        <v>487</v>
      </c>
    </row>
    <row r="2" ht="37.95" customHeight="1" spans="1:13">
      <c r="A2" s="1"/>
      <c r="B2" s="1"/>
      <c r="C2" s="12" t="s">
        <v>28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6" customHeight="1" spans="1:1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1" t="s">
        <v>32</v>
      </c>
      <c r="M3" s="11"/>
    </row>
    <row r="4" ht="33.6" customHeight="1" spans="1:13">
      <c r="A4" s="4" t="s">
        <v>243</v>
      </c>
      <c r="B4" s="4" t="s">
        <v>488</v>
      </c>
      <c r="C4" s="4" t="s">
        <v>489</v>
      </c>
      <c r="D4" s="4" t="s">
        <v>490</v>
      </c>
      <c r="E4" s="4" t="s">
        <v>491</v>
      </c>
      <c r="F4" s="4"/>
      <c r="G4" s="4"/>
      <c r="H4" s="4"/>
      <c r="I4" s="4"/>
      <c r="J4" s="4"/>
      <c r="K4" s="4"/>
      <c r="L4" s="4"/>
      <c r="M4" s="4"/>
    </row>
    <row r="5" ht="36.15" customHeight="1" spans="1:13">
      <c r="A5" s="4"/>
      <c r="B5" s="4"/>
      <c r="C5" s="4"/>
      <c r="D5" s="4"/>
      <c r="E5" s="4" t="s">
        <v>492</v>
      </c>
      <c r="F5" s="4" t="s">
        <v>493</v>
      </c>
      <c r="G5" s="4" t="s">
        <v>494</v>
      </c>
      <c r="H5" s="4" t="s">
        <v>495</v>
      </c>
      <c r="I5" s="4" t="s">
        <v>496</v>
      </c>
      <c r="J5" s="4" t="s">
        <v>497</v>
      </c>
      <c r="K5" s="4" t="s">
        <v>498</v>
      </c>
      <c r="L5" s="4" t="s">
        <v>499</v>
      </c>
      <c r="M5" s="4" t="s">
        <v>500</v>
      </c>
    </row>
    <row r="6" ht="19.8" customHeight="1" spans="1:13">
      <c r="A6" s="14" t="s">
        <v>2</v>
      </c>
      <c r="B6" s="14" t="s">
        <v>4</v>
      </c>
      <c r="C6" s="15">
        <f>SUM(C7:C85)</f>
        <v>232.5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29.25" customHeight="1" spans="1:13">
      <c r="A7" s="5" t="s">
        <v>155</v>
      </c>
      <c r="B7" s="5" t="s">
        <v>501</v>
      </c>
      <c r="C7" s="6">
        <v>42</v>
      </c>
      <c r="D7" s="5" t="s">
        <v>502</v>
      </c>
      <c r="E7" s="17" t="s">
        <v>503</v>
      </c>
      <c r="F7" s="17" t="s">
        <v>504</v>
      </c>
      <c r="G7" s="5" t="s">
        <v>505</v>
      </c>
      <c r="H7" s="5" t="s">
        <v>506</v>
      </c>
      <c r="I7" s="5" t="s">
        <v>507</v>
      </c>
      <c r="J7" s="5" t="s">
        <v>508</v>
      </c>
      <c r="K7" s="5" t="s">
        <v>509</v>
      </c>
      <c r="L7" s="5" t="s">
        <v>510</v>
      </c>
      <c r="M7" s="5"/>
    </row>
    <row r="8" ht="24.45" customHeight="1" spans="1:13">
      <c r="A8" s="5"/>
      <c r="B8" s="5"/>
      <c r="C8" s="6"/>
      <c r="D8" s="5"/>
      <c r="E8" s="17"/>
      <c r="F8" s="17" t="s">
        <v>511</v>
      </c>
      <c r="G8" s="5"/>
      <c r="H8" s="5"/>
      <c r="I8" s="5"/>
      <c r="J8" s="5"/>
      <c r="K8" s="5"/>
      <c r="L8" s="5"/>
      <c r="M8" s="5"/>
    </row>
    <row r="9" ht="24.45" customHeight="1" spans="1:13">
      <c r="A9" s="5"/>
      <c r="B9" s="5"/>
      <c r="C9" s="6"/>
      <c r="D9" s="5"/>
      <c r="E9" s="17"/>
      <c r="F9" s="17" t="s">
        <v>512</v>
      </c>
      <c r="G9" s="5"/>
      <c r="H9" s="5"/>
      <c r="I9" s="5"/>
      <c r="J9" s="5"/>
      <c r="K9" s="5"/>
      <c r="L9" s="5"/>
      <c r="M9" s="5"/>
    </row>
    <row r="10" ht="24.45" customHeight="1" spans="1:13">
      <c r="A10" s="5"/>
      <c r="B10" s="5"/>
      <c r="C10" s="6"/>
      <c r="D10" s="5"/>
      <c r="E10" s="17" t="s">
        <v>513</v>
      </c>
      <c r="F10" s="17" t="s">
        <v>514</v>
      </c>
      <c r="G10" s="5" t="s">
        <v>515</v>
      </c>
      <c r="H10" s="5" t="s">
        <v>516</v>
      </c>
      <c r="I10" s="5" t="s">
        <v>517</v>
      </c>
      <c r="J10" s="5" t="s">
        <v>518</v>
      </c>
      <c r="K10" s="5" t="s">
        <v>519</v>
      </c>
      <c r="L10" s="5" t="s">
        <v>520</v>
      </c>
      <c r="M10" s="5"/>
    </row>
    <row r="11" ht="24.45" customHeight="1" spans="1:13">
      <c r="A11" s="5"/>
      <c r="B11" s="5"/>
      <c r="C11" s="6"/>
      <c r="D11" s="5"/>
      <c r="E11" s="17"/>
      <c r="F11" s="17" t="s">
        <v>521</v>
      </c>
      <c r="G11" s="5" t="s">
        <v>522</v>
      </c>
      <c r="H11" s="5" t="s">
        <v>523</v>
      </c>
      <c r="I11" s="5" t="s">
        <v>524</v>
      </c>
      <c r="J11" s="5" t="s">
        <v>525</v>
      </c>
      <c r="K11" s="5" t="s">
        <v>526</v>
      </c>
      <c r="L11" s="5" t="s">
        <v>527</v>
      </c>
      <c r="M11" s="5"/>
    </row>
    <row r="12" ht="29.25" customHeight="1" spans="1:13">
      <c r="A12" s="5"/>
      <c r="B12" s="5"/>
      <c r="C12" s="6"/>
      <c r="D12" s="5"/>
      <c r="E12" s="17"/>
      <c r="F12" s="17" t="s">
        <v>528</v>
      </c>
      <c r="G12" s="5" t="s">
        <v>529</v>
      </c>
      <c r="H12" s="5" t="s">
        <v>530</v>
      </c>
      <c r="I12" s="5" t="s">
        <v>531</v>
      </c>
      <c r="J12" s="5" t="s">
        <v>532</v>
      </c>
      <c r="K12" s="5" t="s">
        <v>533</v>
      </c>
      <c r="L12" s="5" t="s">
        <v>534</v>
      </c>
      <c r="M12" s="5"/>
    </row>
    <row r="13" ht="24.45" customHeight="1" spans="1:13">
      <c r="A13" s="5"/>
      <c r="B13" s="5"/>
      <c r="C13" s="6"/>
      <c r="D13" s="5"/>
      <c r="E13" s="17" t="s">
        <v>535</v>
      </c>
      <c r="F13" s="17" t="s">
        <v>536</v>
      </c>
      <c r="G13" s="5"/>
      <c r="H13" s="5"/>
      <c r="I13" s="5"/>
      <c r="J13" s="5"/>
      <c r="K13" s="5"/>
      <c r="L13" s="5"/>
      <c r="M13" s="5"/>
    </row>
    <row r="14" ht="24.45" customHeight="1" spans="1:13">
      <c r="A14" s="5"/>
      <c r="B14" s="5"/>
      <c r="C14" s="6"/>
      <c r="D14" s="5"/>
      <c r="E14" s="17"/>
      <c r="F14" s="17" t="s">
        <v>537</v>
      </c>
      <c r="G14" s="5" t="s">
        <v>538</v>
      </c>
      <c r="H14" s="5" t="s">
        <v>539</v>
      </c>
      <c r="I14" s="5" t="s">
        <v>540</v>
      </c>
      <c r="J14" s="5" t="s">
        <v>541</v>
      </c>
      <c r="K14" s="5" t="s">
        <v>526</v>
      </c>
      <c r="L14" s="5" t="s">
        <v>510</v>
      </c>
      <c r="M14" s="5"/>
    </row>
    <row r="15" ht="29.25" customHeight="1" spans="1:13">
      <c r="A15" s="5"/>
      <c r="B15" s="5"/>
      <c r="C15" s="6"/>
      <c r="D15" s="5"/>
      <c r="E15" s="17"/>
      <c r="F15" s="17" t="s">
        <v>542</v>
      </c>
      <c r="G15" s="5" t="s">
        <v>543</v>
      </c>
      <c r="H15" s="5" t="s">
        <v>544</v>
      </c>
      <c r="I15" s="5" t="s">
        <v>543</v>
      </c>
      <c r="J15" s="5" t="s">
        <v>545</v>
      </c>
      <c r="K15" s="5" t="s">
        <v>533</v>
      </c>
      <c r="L15" s="5" t="s">
        <v>534</v>
      </c>
      <c r="M15" s="5"/>
    </row>
    <row r="16" ht="24.45" customHeight="1" spans="1:13">
      <c r="A16" s="5"/>
      <c r="B16" s="5"/>
      <c r="C16" s="6"/>
      <c r="D16" s="5"/>
      <c r="E16" s="17"/>
      <c r="F16" s="17" t="s">
        <v>546</v>
      </c>
      <c r="G16" s="5"/>
      <c r="H16" s="5"/>
      <c r="I16" s="5"/>
      <c r="J16" s="5"/>
      <c r="K16" s="5"/>
      <c r="L16" s="5"/>
      <c r="M16" s="5"/>
    </row>
    <row r="17" ht="24.45" customHeight="1" spans="1:13">
      <c r="A17" s="5"/>
      <c r="B17" s="5"/>
      <c r="C17" s="6"/>
      <c r="D17" s="5"/>
      <c r="E17" s="17" t="s">
        <v>547</v>
      </c>
      <c r="F17" s="17" t="s">
        <v>548</v>
      </c>
      <c r="G17" s="5" t="s">
        <v>549</v>
      </c>
      <c r="H17" s="5" t="s">
        <v>550</v>
      </c>
      <c r="I17" s="5" t="s">
        <v>551</v>
      </c>
      <c r="J17" s="5" t="s">
        <v>552</v>
      </c>
      <c r="K17" s="5" t="s">
        <v>526</v>
      </c>
      <c r="L17" s="5" t="s">
        <v>527</v>
      </c>
      <c r="M17" s="5"/>
    </row>
    <row r="18" ht="29.25" customHeight="1" spans="1:13">
      <c r="A18" s="5" t="s">
        <v>155</v>
      </c>
      <c r="B18" s="5" t="s">
        <v>553</v>
      </c>
      <c r="C18" s="6">
        <v>32</v>
      </c>
      <c r="D18" s="5" t="s">
        <v>554</v>
      </c>
      <c r="E18" s="17" t="s">
        <v>503</v>
      </c>
      <c r="F18" s="17" t="s">
        <v>504</v>
      </c>
      <c r="G18" s="5" t="s">
        <v>505</v>
      </c>
      <c r="H18" s="5" t="s">
        <v>555</v>
      </c>
      <c r="I18" s="5" t="s">
        <v>556</v>
      </c>
      <c r="J18" s="5" t="s">
        <v>557</v>
      </c>
      <c r="K18" s="5" t="s">
        <v>509</v>
      </c>
      <c r="L18" s="5" t="s">
        <v>510</v>
      </c>
      <c r="M18" s="5"/>
    </row>
    <row r="19" ht="24.45" customHeight="1" spans="1:13">
      <c r="A19" s="5"/>
      <c r="B19" s="5"/>
      <c r="C19" s="6"/>
      <c r="D19" s="5"/>
      <c r="E19" s="17"/>
      <c r="F19" s="17" t="s">
        <v>511</v>
      </c>
      <c r="G19" s="5"/>
      <c r="H19" s="5"/>
      <c r="I19" s="5"/>
      <c r="J19" s="5"/>
      <c r="K19" s="5"/>
      <c r="L19" s="5"/>
      <c r="M19" s="5"/>
    </row>
    <row r="20" ht="24.45" customHeight="1" spans="1:13">
      <c r="A20" s="5"/>
      <c r="B20" s="5"/>
      <c r="C20" s="6"/>
      <c r="D20" s="5"/>
      <c r="E20" s="17"/>
      <c r="F20" s="17" t="s">
        <v>512</v>
      </c>
      <c r="G20" s="5"/>
      <c r="H20" s="5"/>
      <c r="I20" s="5"/>
      <c r="J20" s="5"/>
      <c r="K20" s="5"/>
      <c r="L20" s="5"/>
      <c r="M20" s="5"/>
    </row>
    <row r="21" ht="24.45" customHeight="1" spans="1:13">
      <c r="A21" s="5"/>
      <c r="B21" s="5"/>
      <c r="C21" s="6"/>
      <c r="D21" s="5"/>
      <c r="E21" s="17" t="s">
        <v>513</v>
      </c>
      <c r="F21" s="17" t="s">
        <v>514</v>
      </c>
      <c r="G21" s="5" t="s">
        <v>558</v>
      </c>
      <c r="H21" s="5" t="s">
        <v>559</v>
      </c>
      <c r="I21" s="5" t="s">
        <v>560</v>
      </c>
      <c r="J21" s="5" t="s">
        <v>561</v>
      </c>
      <c r="K21" s="5" t="s">
        <v>562</v>
      </c>
      <c r="L21" s="5" t="s">
        <v>527</v>
      </c>
      <c r="M21" s="5"/>
    </row>
    <row r="22" ht="24.45" customHeight="1" spans="1:13">
      <c r="A22" s="5"/>
      <c r="B22" s="5"/>
      <c r="C22" s="6"/>
      <c r="D22" s="5"/>
      <c r="E22" s="17"/>
      <c r="F22" s="17" t="s">
        <v>521</v>
      </c>
      <c r="G22" s="5" t="s">
        <v>563</v>
      </c>
      <c r="H22" s="5" t="s">
        <v>564</v>
      </c>
      <c r="I22" s="5" t="s">
        <v>565</v>
      </c>
      <c r="J22" s="5" t="s">
        <v>566</v>
      </c>
      <c r="K22" s="5" t="s">
        <v>526</v>
      </c>
      <c r="L22" s="5" t="s">
        <v>527</v>
      </c>
      <c r="M22" s="5"/>
    </row>
    <row r="23" ht="29.25" customHeight="1" spans="1:13">
      <c r="A23" s="5"/>
      <c r="B23" s="5"/>
      <c r="C23" s="6"/>
      <c r="D23" s="5"/>
      <c r="E23" s="17"/>
      <c r="F23" s="17" t="s">
        <v>528</v>
      </c>
      <c r="G23" s="5" t="s">
        <v>529</v>
      </c>
      <c r="H23" s="5" t="s">
        <v>530</v>
      </c>
      <c r="I23" s="5" t="s">
        <v>531</v>
      </c>
      <c r="J23" s="5" t="s">
        <v>532</v>
      </c>
      <c r="K23" s="5" t="s">
        <v>533</v>
      </c>
      <c r="L23" s="5" t="s">
        <v>534</v>
      </c>
      <c r="M23" s="5"/>
    </row>
    <row r="24" ht="24.45" customHeight="1" spans="1:13">
      <c r="A24" s="5"/>
      <c r="B24" s="5"/>
      <c r="C24" s="6"/>
      <c r="D24" s="5"/>
      <c r="E24" s="17" t="s">
        <v>535</v>
      </c>
      <c r="F24" s="17" t="s">
        <v>536</v>
      </c>
      <c r="G24" s="5"/>
      <c r="H24" s="5"/>
      <c r="I24" s="5"/>
      <c r="J24" s="5"/>
      <c r="K24" s="5"/>
      <c r="L24" s="5"/>
      <c r="M24" s="5"/>
    </row>
    <row r="25" ht="24.45" customHeight="1" spans="1:13">
      <c r="A25" s="5"/>
      <c r="B25" s="5"/>
      <c r="C25" s="6"/>
      <c r="D25" s="5"/>
      <c r="E25" s="17"/>
      <c r="F25" s="17" t="s">
        <v>537</v>
      </c>
      <c r="G25" s="5" t="s">
        <v>567</v>
      </c>
      <c r="H25" s="5" t="s">
        <v>568</v>
      </c>
      <c r="I25" s="5" t="s">
        <v>569</v>
      </c>
      <c r="J25" s="5" t="s">
        <v>570</v>
      </c>
      <c r="K25" s="5" t="s">
        <v>526</v>
      </c>
      <c r="L25" s="5" t="s">
        <v>527</v>
      </c>
      <c r="M25" s="5"/>
    </row>
    <row r="26" ht="24.45" customHeight="1" spans="1:13">
      <c r="A26" s="5"/>
      <c r="B26" s="5"/>
      <c r="C26" s="6"/>
      <c r="D26" s="5"/>
      <c r="E26" s="17"/>
      <c r="F26" s="17" t="s">
        <v>542</v>
      </c>
      <c r="G26" s="5"/>
      <c r="H26" s="5"/>
      <c r="I26" s="5"/>
      <c r="J26" s="5"/>
      <c r="K26" s="5"/>
      <c r="L26" s="5"/>
      <c r="M26" s="5"/>
    </row>
    <row r="27" ht="24.45" customHeight="1" spans="1:13">
      <c r="A27" s="5"/>
      <c r="B27" s="5"/>
      <c r="C27" s="6"/>
      <c r="D27" s="5"/>
      <c r="E27" s="17"/>
      <c r="F27" s="17" t="s">
        <v>546</v>
      </c>
      <c r="G27" s="5"/>
      <c r="H27" s="5"/>
      <c r="I27" s="5"/>
      <c r="J27" s="5"/>
      <c r="K27" s="5"/>
      <c r="L27" s="5"/>
      <c r="M27" s="5"/>
    </row>
    <row r="28" ht="24.45" customHeight="1" spans="1:13">
      <c r="A28" s="5"/>
      <c r="B28" s="5"/>
      <c r="C28" s="6"/>
      <c r="D28" s="5"/>
      <c r="E28" s="17" t="s">
        <v>547</v>
      </c>
      <c r="F28" s="17" t="s">
        <v>548</v>
      </c>
      <c r="G28" s="5" t="s">
        <v>571</v>
      </c>
      <c r="H28" s="5" t="s">
        <v>550</v>
      </c>
      <c r="I28" s="5" t="s">
        <v>572</v>
      </c>
      <c r="J28" s="5" t="s">
        <v>525</v>
      </c>
      <c r="K28" s="5" t="s">
        <v>526</v>
      </c>
      <c r="L28" s="5" t="s">
        <v>527</v>
      </c>
      <c r="M28" s="5"/>
    </row>
    <row r="29" ht="29.25" customHeight="1" spans="1:13">
      <c r="A29" s="5" t="s">
        <v>155</v>
      </c>
      <c r="B29" s="5" t="s">
        <v>573</v>
      </c>
      <c r="C29" s="6">
        <v>18</v>
      </c>
      <c r="D29" s="5" t="s">
        <v>574</v>
      </c>
      <c r="E29" s="17" t="s">
        <v>503</v>
      </c>
      <c r="F29" s="17" t="s">
        <v>504</v>
      </c>
      <c r="G29" s="5" t="s">
        <v>505</v>
      </c>
      <c r="H29" s="5" t="s">
        <v>575</v>
      </c>
      <c r="I29" s="5" t="s">
        <v>576</v>
      </c>
      <c r="J29" s="5" t="s">
        <v>557</v>
      </c>
      <c r="K29" s="5" t="s">
        <v>509</v>
      </c>
      <c r="L29" s="5" t="s">
        <v>510</v>
      </c>
      <c r="M29" s="5"/>
    </row>
    <row r="30" ht="24.45" customHeight="1" spans="1:13">
      <c r="A30" s="5"/>
      <c r="B30" s="5"/>
      <c r="C30" s="6"/>
      <c r="D30" s="5"/>
      <c r="E30" s="17"/>
      <c r="F30" s="17" t="s">
        <v>511</v>
      </c>
      <c r="G30" s="5"/>
      <c r="H30" s="5"/>
      <c r="I30" s="5"/>
      <c r="J30" s="5"/>
      <c r="K30" s="5"/>
      <c r="L30" s="5"/>
      <c r="M30" s="5"/>
    </row>
    <row r="31" ht="24.45" customHeight="1" spans="1:13">
      <c r="A31" s="5"/>
      <c r="B31" s="5"/>
      <c r="C31" s="6"/>
      <c r="D31" s="5"/>
      <c r="E31" s="17"/>
      <c r="F31" s="17" t="s">
        <v>512</v>
      </c>
      <c r="G31" s="5"/>
      <c r="H31" s="5"/>
      <c r="I31" s="5"/>
      <c r="J31" s="5"/>
      <c r="K31" s="5"/>
      <c r="L31" s="5"/>
      <c r="M31" s="5"/>
    </row>
    <row r="32" ht="24.45" customHeight="1" spans="1:13">
      <c r="A32" s="5"/>
      <c r="B32" s="5"/>
      <c r="C32" s="6"/>
      <c r="D32" s="5"/>
      <c r="E32" s="17" t="s">
        <v>513</v>
      </c>
      <c r="F32" s="17" t="s">
        <v>514</v>
      </c>
      <c r="G32" s="5" t="s">
        <v>558</v>
      </c>
      <c r="H32" s="5" t="s">
        <v>559</v>
      </c>
      <c r="I32" s="5" t="s">
        <v>560</v>
      </c>
      <c r="J32" s="5" t="s">
        <v>561</v>
      </c>
      <c r="K32" s="5" t="s">
        <v>562</v>
      </c>
      <c r="L32" s="5" t="s">
        <v>527</v>
      </c>
      <c r="M32" s="5"/>
    </row>
    <row r="33" ht="24.45" customHeight="1" spans="1:13">
      <c r="A33" s="5"/>
      <c r="B33" s="5"/>
      <c r="C33" s="6"/>
      <c r="D33" s="5"/>
      <c r="E33" s="17"/>
      <c r="F33" s="17" t="s">
        <v>521</v>
      </c>
      <c r="G33" s="5" t="s">
        <v>563</v>
      </c>
      <c r="H33" s="5" t="s">
        <v>564</v>
      </c>
      <c r="I33" s="5" t="s">
        <v>565</v>
      </c>
      <c r="J33" s="5" t="s">
        <v>566</v>
      </c>
      <c r="K33" s="5" t="s">
        <v>526</v>
      </c>
      <c r="L33" s="5" t="s">
        <v>527</v>
      </c>
      <c r="M33" s="5"/>
    </row>
    <row r="34" ht="29.25" customHeight="1" spans="1:13">
      <c r="A34" s="5"/>
      <c r="B34" s="5"/>
      <c r="C34" s="6"/>
      <c r="D34" s="5"/>
      <c r="E34" s="17"/>
      <c r="F34" s="17" t="s">
        <v>528</v>
      </c>
      <c r="G34" s="5" t="s">
        <v>529</v>
      </c>
      <c r="H34" s="5" t="s">
        <v>530</v>
      </c>
      <c r="I34" s="5" t="s">
        <v>531</v>
      </c>
      <c r="J34" s="5" t="s">
        <v>532</v>
      </c>
      <c r="K34" s="5" t="s">
        <v>533</v>
      </c>
      <c r="L34" s="5" t="s">
        <v>534</v>
      </c>
      <c r="M34" s="5"/>
    </row>
    <row r="35" ht="24.45" customHeight="1" spans="1:13">
      <c r="A35" s="5"/>
      <c r="B35" s="5"/>
      <c r="C35" s="6"/>
      <c r="D35" s="5"/>
      <c r="E35" s="17" t="s">
        <v>535</v>
      </c>
      <c r="F35" s="17" t="s">
        <v>536</v>
      </c>
      <c r="G35" s="5"/>
      <c r="H35" s="5"/>
      <c r="I35" s="5"/>
      <c r="J35" s="5"/>
      <c r="K35" s="5"/>
      <c r="L35" s="5"/>
      <c r="M35" s="5"/>
    </row>
    <row r="36" ht="24.45" customHeight="1" spans="1:13">
      <c r="A36" s="5"/>
      <c r="B36" s="5"/>
      <c r="C36" s="6"/>
      <c r="D36" s="5"/>
      <c r="E36" s="17"/>
      <c r="F36" s="17" t="s">
        <v>537</v>
      </c>
      <c r="G36" s="5" t="s">
        <v>567</v>
      </c>
      <c r="H36" s="5" t="s">
        <v>568</v>
      </c>
      <c r="I36" s="5" t="s">
        <v>569</v>
      </c>
      <c r="J36" s="5" t="s">
        <v>570</v>
      </c>
      <c r="K36" s="5" t="s">
        <v>526</v>
      </c>
      <c r="L36" s="5" t="s">
        <v>527</v>
      </c>
      <c r="M36" s="5"/>
    </row>
    <row r="37" ht="24.45" customHeight="1" spans="1:13">
      <c r="A37" s="5"/>
      <c r="B37" s="5"/>
      <c r="C37" s="6"/>
      <c r="D37" s="5"/>
      <c r="E37" s="17"/>
      <c r="F37" s="17" t="s">
        <v>542</v>
      </c>
      <c r="G37" s="5"/>
      <c r="H37" s="5"/>
      <c r="I37" s="5"/>
      <c r="J37" s="5"/>
      <c r="K37" s="5"/>
      <c r="L37" s="5"/>
      <c r="M37" s="5"/>
    </row>
    <row r="38" ht="24.45" customHeight="1" spans="1:13">
      <c r="A38" s="5"/>
      <c r="B38" s="5"/>
      <c r="C38" s="6"/>
      <c r="D38" s="5"/>
      <c r="E38" s="17"/>
      <c r="F38" s="17" t="s">
        <v>546</v>
      </c>
      <c r="G38" s="5"/>
      <c r="H38" s="5"/>
      <c r="I38" s="5"/>
      <c r="J38" s="5"/>
      <c r="K38" s="5"/>
      <c r="L38" s="5"/>
      <c r="M38" s="5"/>
    </row>
    <row r="39" ht="24.45" customHeight="1" spans="1:13">
      <c r="A39" s="5"/>
      <c r="B39" s="5"/>
      <c r="C39" s="6"/>
      <c r="D39" s="5"/>
      <c r="E39" s="17" t="s">
        <v>547</v>
      </c>
      <c r="F39" s="17" t="s">
        <v>548</v>
      </c>
      <c r="G39" s="5" t="s">
        <v>571</v>
      </c>
      <c r="H39" s="5" t="s">
        <v>550</v>
      </c>
      <c r="I39" s="5" t="s">
        <v>572</v>
      </c>
      <c r="J39" s="5" t="s">
        <v>525</v>
      </c>
      <c r="K39" s="5" t="s">
        <v>526</v>
      </c>
      <c r="L39" s="5" t="s">
        <v>527</v>
      </c>
      <c r="M39" s="5"/>
    </row>
    <row r="40" ht="29.25" customHeight="1" spans="1:13">
      <c r="A40" s="5" t="s">
        <v>155</v>
      </c>
      <c r="B40" s="5" t="s">
        <v>577</v>
      </c>
      <c r="C40" s="6">
        <v>79</v>
      </c>
      <c r="D40" s="5" t="s">
        <v>578</v>
      </c>
      <c r="E40" s="17" t="s">
        <v>503</v>
      </c>
      <c r="F40" s="17" t="s">
        <v>504</v>
      </c>
      <c r="G40" s="5" t="s">
        <v>505</v>
      </c>
      <c r="H40" s="5" t="s">
        <v>579</v>
      </c>
      <c r="I40" s="5" t="s">
        <v>580</v>
      </c>
      <c r="J40" s="5" t="s">
        <v>581</v>
      </c>
      <c r="K40" s="5" t="s">
        <v>509</v>
      </c>
      <c r="L40" s="5" t="s">
        <v>510</v>
      </c>
      <c r="M40" s="5"/>
    </row>
    <row r="41" ht="24.45" customHeight="1" spans="1:13">
      <c r="A41" s="5"/>
      <c r="B41" s="5"/>
      <c r="C41" s="6"/>
      <c r="D41" s="5"/>
      <c r="E41" s="17"/>
      <c r="F41" s="17" t="s">
        <v>511</v>
      </c>
      <c r="G41" s="5"/>
      <c r="H41" s="5"/>
      <c r="I41" s="5"/>
      <c r="J41" s="5"/>
      <c r="K41" s="5"/>
      <c r="L41" s="5"/>
      <c r="M41" s="5"/>
    </row>
    <row r="42" ht="24.45" customHeight="1" spans="1:13">
      <c r="A42" s="5"/>
      <c r="B42" s="5"/>
      <c r="C42" s="6"/>
      <c r="D42" s="5"/>
      <c r="E42" s="17"/>
      <c r="F42" s="17" t="s">
        <v>512</v>
      </c>
      <c r="G42" s="5"/>
      <c r="H42" s="5"/>
      <c r="I42" s="5"/>
      <c r="J42" s="5"/>
      <c r="K42" s="5"/>
      <c r="L42" s="5"/>
      <c r="M42" s="5"/>
    </row>
    <row r="43" ht="29.25" customHeight="1" spans="1:13">
      <c r="A43" s="5"/>
      <c r="B43" s="5"/>
      <c r="C43" s="6"/>
      <c r="D43" s="5"/>
      <c r="E43" s="17" t="s">
        <v>513</v>
      </c>
      <c r="F43" s="17" t="s">
        <v>514</v>
      </c>
      <c r="G43" s="5" t="s">
        <v>582</v>
      </c>
      <c r="H43" s="5" t="s">
        <v>583</v>
      </c>
      <c r="I43" s="5" t="s">
        <v>584</v>
      </c>
      <c r="J43" s="5" t="s">
        <v>585</v>
      </c>
      <c r="K43" s="5" t="s">
        <v>526</v>
      </c>
      <c r="L43" s="5" t="s">
        <v>520</v>
      </c>
      <c r="M43" s="5"/>
    </row>
    <row r="44" ht="29.25" customHeight="1" spans="1:13">
      <c r="A44" s="5"/>
      <c r="B44" s="5"/>
      <c r="C44" s="6"/>
      <c r="D44" s="5"/>
      <c r="E44" s="17"/>
      <c r="F44" s="17" t="s">
        <v>521</v>
      </c>
      <c r="G44" s="5" t="s">
        <v>586</v>
      </c>
      <c r="H44" s="5" t="s">
        <v>583</v>
      </c>
      <c r="I44" s="5" t="s">
        <v>587</v>
      </c>
      <c r="J44" s="5" t="s">
        <v>585</v>
      </c>
      <c r="K44" s="5" t="s">
        <v>526</v>
      </c>
      <c r="L44" s="5" t="s">
        <v>520</v>
      </c>
      <c r="M44" s="5"/>
    </row>
    <row r="45" ht="29.25" customHeight="1" spans="1:13">
      <c r="A45" s="5"/>
      <c r="B45" s="5"/>
      <c r="C45" s="6"/>
      <c r="D45" s="5"/>
      <c r="E45" s="17"/>
      <c r="F45" s="17" t="s">
        <v>528</v>
      </c>
      <c r="G45" s="5" t="s">
        <v>529</v>
      </c>
      <c r="H45" s="5" t="s">
        <v>530</v>
      </c>
      <c r="I45" s="5" t="s">
        <v>531</v>
      </c>
      <c r="J45" s="5" t="s">
        <v>581</v>
      </c>
      <c r="K45" s="5" t="s">
        <v>533</v>
      </c>
      <c r="L45" s="5" t="s">
        <v>534</v>
      </c>
      <c r="M45" s="5"/>
    </row>
    <row r="46" ht="24.45" customHeight="1" spans="1:13">
      <c r="A46" s="5"/>
      <c r="B46" s="5"/>
      <c r="C46" s="6"/>
      <c r="D46" s="5"/>
      <c r="E46" s="17" t="s">
        <v>535</v>
      </c>
      <c r="F46" s="17" t="s">
        <v>536</v>
      </c>
      <c r="G46" s="5"/>
      <c r="H46" s="5"/>
      <c r="I46" s="5"/>
      <c r="J46" s="5"/>
      <c r="K46" s="5"/>
      <c r="L46" s="5"/>
      <c r="M46" s="5"/>
    </row>
    <row r="47" ht="29.25" customHeight="1" spans="1:13">
      <c r="A47" s="5"/>
      <c r="B47" s="5"/>
      <c r="C47" s="6"/>
      <c r="D47" s="5"/>
      <c r="E47" s="17"/>
      <c r="F47" s="17" t="s">
        <v>537</v>
      </c>
      <c r="G47" s="5" t="s">
        <v>588</v>
      </c>
      <c r="H47" s="5" t="s">
        <v>589</v>
      </c>
      <c r="I47" s="5" t="s">
        <v>588</v>
      </c>
      <c r="J47" s="5" t="s">
        <v>581</v>
      </c>
      <c r="K47" s="5" t="s">
        <v>533</v>
      </c>
      <c r="L47" s="5" t="s">
        <v>534</v>
      </c>
      <c r="M47" s="5"/>
    </row>
    <row r="48" ht="24.45" customHeight="1" spans="1:13">
      <c r="A48" s="5"/>
      <c r="B48" s="5"/>
      <c r="C48" s="6"/>
      <c r="D48" s="5"/>
      <c r="E48" s="17"/>
      <c r="F48" s="17" t="s">
        <v>542</v>
      </c>
      <c r="G48" s="5"/>
      <c r="H48" s="5"/>
      <c r="I48" s="5"/>
      <c r="J48" s="5"/>
      <c r="K48" s="5"/>
      <c r="L48" s="5"/>
      <c r="M48" s="5"/>
    </row>
    <row r="49" ht="24.45" customHeight="1" spans="1:13">
      <c r="A49" s="5"/>
      <c r="B49" s="5"/>
      <c r="C49" s="6"/>
      <c r="D49" s="5"/>
      <c r="E49" s="17"/>
      <c r="F49" s="17" t="s">
        <v>546</v>
      </c>
      <c r="G49" s="5"/>
      <c r="H49" s="5"/>
      <c r="I49" s="5"/>
      <c r="J49" s="5"/>
      <c r="K49" s="5"/>
      <c r="L49" s="5"/>
      <c r="M49" s="5"/>
    </row>
    <row r="50" ht="29.25" customHeight="1" spans="1:13">
      <c r="A50" s="5"/>
      <c r="B50" s="5"/>
      <c r="C50" s="6"/>
      <c r="D50" s="5"/>
      <c r="E50" s="17" t="s">
        <v>547</v>
      </c>
      <c r="F50" s="17" t="s">
        <v>548</v>
      </c>
      <c r="G50" s="5" t="s">
        <v>549</v>
      </c>
      <c r="H50" s="5" t="s">
        <v>550</v>
      </c>
      <c r="I50" s="5" t="s">
        <v>590</v>
      </c>
      <c r="J50" s="5" t="s">
        <v>581</v>
      </c>
      <c r="K50" s="5" t="s">
        <v>526</v>
      </c>
      <c r="L50" s="5" t="s">
        <v>527</v>
      </c>
      <c r="M50" s="5"/>
    </row>
    <row r="51" ht="29.25" customHeight="1" spans="1:13">
      <c r="A51" s="5" t="s">
        <v>155</v>
      </c>
      <c r="B51" s="5" t="s">
        <v>591</v>
      </c>
      <c r="C51" s="6">
        <v>30</v>
      </c>
      <c r="D51" s="5" t="s">
        <v>592</v>
      </c>
      <c r="E51" s="17" t="s">
        <v>503</v>
      </c>
      <c r="F51" s="17" t="s">
        <v>504</v>
      </c>
      <c r="G51" s="5" t="s">
        <v>505</v>
      </c>
      <c r="H51" s="5" t="s">
        <v>593</v>
      </c>
      <c r="I51" s="5" t="s">
        <v>594</v>
      </c>
      <c r="J51" s="5" t="s">
        <v>557</v>
      </c>
      <c r="K51" s="5" t="s">
        <v>509</v>
      </c>
      <c r="L51" s="5" t="s">
        <v>510</v>
      </c>
      <c r="M51" s="5"/>
    </row>
    <row r="52" ht="24.45" customHeight="1" spans="1:13">
      <c r="A52" s="5"/>
      <c r="B52" s="5"/>
      <c r="C52" s="6"/>
      <c r="D52" s="5"/>
      <c r="E52" s="17"/>
      <c r="F52" s="17" t="s">
        <v>511</v>
      </c>
      <c r="G52" s="5"/>
      <c r="H52" s="5"/>
      <c r="I52" s="5"/>
      <c r="J52" s="5"/>
      <c r="K52" s="5"/>
      <c r="L52" s="5"/>
      <c r="M52" s="5"/>
    </row>
    <row r="53" ht="24.45" customHeight="1" spans="1:13">
      <c r="A53" s="5"/>
      <c r="B53" s="5"/>
      <c r="C53" s="6"/>
      <c r="D53" s="5"/>
      <c r="E53" s="17"/>
      <c r="F53" s="17" t="s">
        <v>512</v>
      </c>
      <c r="G53" s="5"/>
      <c r="H53" s="5"/>
      <c r="I53" s="5"/>
      <c r="J53" s="5"/>
      <c r="K53" s="5"/>
      <c r="L53" s="5"/>
      <c r="M53" s="5"/>
    </row>
    <row r="54" ht="39.6" customHeight="1" spans="1:13">
      <c r="A54" s="5"/>
      <c r="B54" s="5"/>
      <c r="C54" s="6"/>
      <c r="D54" s="5"/>
      <c r="E54" s="17" t="s">
        <v>513</v>
      </c>
      <c r="F54" s="17" t="s">
        <v>514</v>
      </c>
      <c r="G54" s="5" t="s">
        <v>595</v>
      </c>
      <c r="H54" s="5" t="s">
        <v>596</v>
      </c>
      <c r="I54" s="5" t="s">
        <v>597</v>
      </c>
      <c r="J54" s="5" t="s">
        <v>598</v>
      </c>
      <c r="K54" s="5" t="s">
        <v>599</v>
      </c>
      <c r="L54" s="5" t="s">
        <v>520</v>
      </c>
      <c r="M54" s="5"/>
    </row>
    <row r="55" ht="39.6" customHeight="1" spans="1:13">
      <c r="A55" s="5"/>
      <c r="B55" s="5"/>
      <c r="C55" s="6"/>
      <c r="D55" s="5"/>
      <c r="E55" s="17"/>
      <c r="F55" s="17"/>
      <c r="G55" s="5" t="s">
        <v>600</v>
      </c>
      <c r="H55" s="5" t="s">
        <v>601</v>
      </c>
      <c r="I55" s="5" t="s">
        <v>602</v>
      </c>
      <c r="J55" s="5" t="s">
        <v>598</v>
      </c>
      <c r="K55" s="5" t="s">
        <v>603</v>
      </c>
      <c r="L55" s="5" t="s">
        <v>520</v>
      </c>
      <c r="M55" s="5"/>
    </row>
    <row r="56" ht="24.45" customHeight="1" spans="1:13">
      <c r="A56" s="5"/>
      <c r="B56" s="5"/>
      <c r="C56" s="6"/>
      <c r="D56" s="5"/>
      <c r="E56" s="17"/>
      <c r="F56" s="17" t="s">
        <v>521</v>
      </c>
      <c r="G56" s="5" t="s">
        <v>604</v>
      </c>
      <c r="H56" s="5" t="s">
        <v>550</v>
      </c>
      <c r="I56" s="5" t="s">
        <v>605</v>
      </c>
      <c r="J56" s="5" t="s">
        <v>566</v>
      </c>
      <c r="K56" s="5" t="s">
        <v>526</v>
      </c>
      <c r="L56" s="5" t="s">
        <v>527</v>
      </c>
      <c r="M56" s="5"/>
    </row>
    <row r="57" ht="29.25" customHeight="1" spans="1:13">
      <c r="A57" s="5"/>
      <c r="B57" s="5"/>
      <c r="C57" s="6"/>
      <c r="D57" s="5"/>
      <c r="E57" s="17"/>
      <c r="F57" s="17" t="s">
        <v>528</v>
      </c>
      <c r="G57" s="5" t="s">
        <v>529</v>
      </c>
      <c r="H57" s="5" t="s">
        <v>530</v>
      </c>
      <c r="I57" s="5" t="s">
        <v>531</v>
      </c>
      <c r="J57" s="5" t="s">
        <v>532</v>
      </c>
      <c r="K57" s="5" t="s">
        <v>533</v>
      </c>
      <c r="L57" s="5" t="s">
        <v>534</v>
      </c>
      <c r="M57" s="5"/>
    </row>
    <row r="58" ht="24.45" customHeight="1" spans="1:13">
      <c r="A58" s="5"/>
      <c r="B58" s="5"/>
      <c r="C58" s="6"/>
      <c r="D58" s="5"/>
      <c r="E58" s="17" t="s">
        <v>535</v>
      </c>
      <c r="F58" s="17" t="s">
        <v>536</v>
      </c>
      <c r="G58" s="5"/>
      <c r="H58" s="5"/>
      <c r="I58" s="5"/>
      <c r="J58" s="5"/>
      <c r="K58" s="5"/>
      <c r="L58" s="5"/>
      <c r="M58" s="5"/>
    </row>
    <row r="59" ht="29.25" customHeight="1" spans="1:13">
      <c r="A59" s="5"/>
      <c r="B59" s="5"/>
      <c r="C59" s="6"/>
      <c r="D59" s="5"/>
      <c r="E59" s="17"/>
      <c r="F59" s="17" t="s">
        <v>537</v>
      </c>
      <c r="G59" s="5" t="s">
        <v>606</v>
      </c>
      <c r="H59" s="5" t="s">
        <v>607</v>
      </c>
      <c r="I59" s="5" t="s">
        <v>606</v>
      </c>
      <c r="J59" s="5" t="s">
        <v>581</v>
      </c>
      <c r="K59" s="5" t="s">
        <v>533</v>
      </c>
      <c r="L59" s="5" t="s">
        <v>534</v>
      </c>
      <c r="M59" s="5"/>
    </row>
    <row r="60" ht="24.45" customHeight="1" spans="1:13">
      <c r="A60" s="5"/>
      <c r="B60" s="5"/>
      <c r="C60" s="6"/>
      <c r="D60" s="5"/>
      <c r="E60" s="17"/>
      <c r="F60" s="17" t="s">
        <v>542</v>
      </c>
      <c r="G60" s="5"/>
      <c r="H60" s="5"/>
      <c r="I60" s="5"/>
      <c r="J60" s="5"/>
      <c r="K60" s="5"/>
      <c r="L60" s="5"/>
      <c r="M60" s="5"/>
    </row>
    <row r="61" ht="24.45" customHeight="1" spans="1:13">
      <c r="A61" s="5"/>
      <c r="B61" s="5"/>
      <c r="C61" s="6"/>
      <c r="D61" s="5"/>
      <c r="E61" s="17"/>
      <c r="F61" s="17" t="s">
        <v>546</v>
      </c>
      <c r="G61" s="5"/>
      <c r="H61" s="5"/>
      <c r="I61" s="5"/>
      <c r="J61" s="5"/>
      <c r="K61" s="5"/>
      <c r="L61" s="5"/>
      <c r="M61" s="5"/>
    </row>
    <row r="62" ht="24.45" customHeight="1" spans="1:13">
      <c r="A62" s="5"/>
      <c r="B62" s="5"/>
      <c r="C62" s="6"/>
      <c r="D62" s="5"/>
      <c r="E62" s="17" t="s">
        <v>547</v>
      </c>
      <c r="F62" s="17" t="s">
        <v>548</v>
      </c>
      <c r="G62" s="5" t="s">
        <v>608</v>
      </c>
      <c r="H62" s="5" t="s">
        <v>550</v>
      </c>
      <c r="I62" s="5" t="s">
        <v>609</v>
      </c>
      <c r="J62" s="5" t="s">
        <v>525</v>
      </c>
      <c r="K62" s="5" t="s">
        <v>526</v>
      </c>
      <c r="L62" s="5" t="s">
        <v>527</v>
      </c>
      <c r="M62" s="5"/>
    </row>
    <row r="63" ht="24.45" customHeight="1" spans="1:13">
      <c r="A63" s="7" t="s">
        <v>161</v>
      </c>
      <c r="B63" s="7" t="s">
        <v>610</v>
      </c>
      <c r="C63" s="8">
        <v>7</v>
      </c>
      <c r="D63" s="7" t="s">
        <v>611</v>
      </c>
      <c r="E63" s="18" t="s">
        <v>503</v>
      </c>
      <c r="F63" s="18" t="s">
        <v>504</v>
      </c>
      <c r="G63" s="7" t="s">
        <v>505</v>
      </c>
      <c r="H63" s="7" t="s">
        <v>612</v>
      </c>
      <c r="I63" s="7" t="s">
        <v>613</v>
      </c>
      <c r="J63" s="7" t="s">
        <v>557</v>
      </c>
      <c r="K63" s="7" t="s">
        <v>509</v>
      </c>
      <c r="L63" s="7" t="s">
        <v>510</v>
      </c>
      <c r="M63" s="7"/>
    </row>
    <row r="64" ht="16.35" customHeight="1" spans="1:13">
      <c r="A64" s="7"/>
      <c r="B64" s="7"/>
      <c r="C64" s="8"/>
      <c r="D64" s="7"/>
      <c r="E64" s="18"/>
      <c r="F64" s="18" t="s">
        <v>511</v>
      </c>
      <c r="G64" s="7"/>
      <c r="H64" s="7"/>
      <c r="I64" s="7"/>
      <c r="J64" s="7"/>
      <c r="K64" s="7"/>
      <c r="L64" s="7"/>
      <c r="M64" s="7"/>
    </row>
    <row r="65" ht="21" spans="1:13">
      <c r="A65" s="7"/>
      <c r="B65" s="7"/>
      <c r="C65" s="8"/>
      <c r="D65" s="7"/>
      <c r="E65" s="18"/>
      <c r="F65" s="18" t="s">
        <v>512</v>
      </c>
      <c r="G65" s="7"/>
      <c r="H65" s="7"/>
      <c r="I65" s="7"/>
      <c r="J65" s="7"/>
      <c r="K65" s="7"/>
      <c r="L65" s="7"/>
      <c r="M65" s="7"/>
    </row>
    <row r="66" ht="18" spans="1:13">
      <c r="A66" s="7"/>
      <c r="B66" s="7"/>
      <c r="C66" s="8"/>
      <c r="D66" s="7"/>
      <c r="E66" s="18" t="s">
        <v>513</v>
      </c>
      <c r="F66" s="18" t="s">
        <v>514</v>
      </c>
      <c r="G66" s="7" t="s">
        <v>614</v>
      </c>
      <c r="H66" s="7" t="s">
        <v>559</v>
      </c>
      <c r="I66" s="7" t="s">
        <v>560</v>
      </c>
      <c r="J66" s="7" t="s">
        <v>561</v>
      </c>
      <c r="K66" s="7" t="s">
        <v>562</v>
      </c>
      <c r="L66" s="7" t="s">
        <v>527</v>
      </c>
      <c r="M66" s="7"/>
    </row>
    <row r="67" ht="18" spans="1:13">
      <c r="A67" s="7"/>
      <c r="B67" s="7"/>
      <c r="C67" s="8"/>
      <c r="D67" s="7"/>
      <c r="E67" s="18"/>
      <c r="F67" s="18" t="s">
        <v>521</v>
      </c>
      <c r="G67" s="7" t="s">
        <v>563</v>
      </c>
      <c r="H67" s="7" t="s">
        <v>205</v>
      </c>
      <c r="I67" s="7" t="s">
        <v>615</v>
      </c>
      <c r="J67" s="7" t="s">
        <v>566</v>
      </c>
      <c r="K67" s="7" t="s">
        <v>526</v>
      </c>
      <c r="L67" s="7" t="s">
        <v>527</v>
      </c>
      <c r="M67" s="7"/>
    </row>
    <row r="68" ht="27" spans="1:13">
      <c r="A68" s="7"/>
      <c r="B68" s="7"/>
      <c r="C68" s="8"/>
      <c r="D68" s="7"/>
      <c r="E68" s="18"/>
      <c r="F68" s="18" t="s">
        <v>528</v>
      </c>
      <c r="G68" s="7" t="s">
        <v>529</v>
      </c>
      <c r="H68" s="7" t="s">
        <v>616</v>
      </c>
      <c r="I68" s="7" t="s">
        <v>617</v>
      </c>
      <c r="J68" s="7" t="s">
        <v>532</v>
      </c>
      <c r="K68" s="7" t="s">
        <v>533</v>
      </c>
      <c r="L68" s="7" t="s">
        <v>534</v>
      </c>
      <c r="M68" s="7"/>
    </row>
    <row r="69" ht="21" spans="1:13">
      <c r="A69" s="7"/>
      <c r="B69" s="7"/>
      <c r="C69" s="8"/>
      <c r="D69" s="7"/>
      <c r="E69" s="18" t="s">
        <v>535</v>
      </c>
      <c r="F69" s="18" t="s">
        <v>536</v>
      </c>
      <c r="G69" s="7"/>
      <c r="H69" s="7"/>
      <c r="I69" s="7"/>
      <c r="J69" s="7"/>
      <c r="K69" s="7"/>
      <c r="L69" s="7"/>
      <c r="M69" s="7"/>
    </row>
    <row r="70" ht="21" spans="1:13">
      <c r="A70" s="7"/>
      <c r="B70" s="7"/>
      <c r="C70" s="8"/>
      <c r="D70" s="7"/>
      <c r="E70" s="18"/>
      <c r="F70" s="18" t="s">
        <v>537</v>
      </c>
      <c r="G70" s="7" t="s">
        <v>567</v>
      </c>
      <c r="H70" s="7" t="s">
        <v>568</v>
      </c>
      <c r="I70" s="7" t="s">
        <v>569</v>
      </c>
      <c r="J70" s="7" t="s">
        <v>570</v>
      </c>
      <c r="K70" s="7" t="s">
        <v>526</v>
      </c>
      <c r="L70" s="7" t="s">
        <v>527</v>
      </c>
      <c r="M70" s="7"/>
    </row>
    <row r="71" ht="21" spans="1:13">
      <c r="A71" s="7"/>
      <c r="B71" s="7"/>
      <c r="C71" s="8"/>
      <c r="D71" s="7"/>
      <c r="E71" s="18"/>
      <c r="F71" s="18" t="s">
        <v>542</v>
      </c>
      <c r="G71" s="7"/>
      <c r="H71" s="7"/>
      <c r="I71" s="7"/>
      <c r="J71" s="7"/>
      <c r="K71" s="7"/>
      <c r="L71" s="7"/>
      <c r="M71" s="7"/>
    </row>
    <row r="72" ht="21" spans="1:13">
      <c r="A72" s="7"/>
      <c r="B72" s="7"/>
      <c r="C72" s="8"/>
      <c r="D72" s="7"/>
      <c r="E72" s="18"/>
      <c r="F72" s="18" t="s">
        <v>546</v>
      </c>
      <c r="G72" s="7"/>
      <c r="H72" s="7"/>
      <c r="I72" s="7"/>
      <c r="J72" s="7"/>
      <c r="K72" s="7"/>
      <c r="L72" s="7"/>
      <c r="M72" s="7"/>
    </row>
    <row r="73" ht="21" spans="1:13">
      <c r="A73" s="7"/>
      <c r="B73" s="7"/>
      <c r="C73" s="8"/>
      <c r="D73" s="7"/>
      <c r="E73" s="18" t="s">
        <v>547</v>
      </c>
      <c r="F73" s="18" t="s">
        <v>548</v>
      </c>
      <c r="G73" s="7" t="s">
        <v>571</v>
      </c>
      <c r="H73" s="7" t="s">
        <v>550</v>
      </c>
      <c r="I73" s="7" t="s">
        <v>572</v>
      </c>
      <c r="J73" s="7" t="s">
        <v>525</v>
      </c>
      <c r="K73" s="7" t="s">
        <v>526</v>
      </c>
      <c r="L73" s="7" t="s">
        <v>527</v>
      </c>
      <c r="M73" s="7"/>
    </row>
    <row r="74" ht="21" spans="1:13">
      <c r="A74" s="7" t="s">
        <v>165</v>
      </c>
      <c r="B74" s="7" t="s">
        <v>618</v>
      </c>
      <c r="C74" s="8">
        <v>24.5</v>
      </c>
      <c r="D74" s="7" t="s">
        <v>619</v>
      </c>
      <c r="E74" s="18" t="s">
        <v>503</v>
      </c>
      <c r="F74" s="18" t="s">
        <v>504</v>
      </c>
      <c r="G74" s="7" t="s">
        <v>620</v>
      </c>
      <c r="H74" s="7" t="s">
        <v>621</v>
      </c>
      <c r="I74" s="7"/>
      <c r="J74" s="7"/>
      <c r="K74" s="7" t="s">
        <v>622</v>
      </c>
      <c r="L74" s="7" t="s">
        <v>510</v>
      </c>
      <c r="M74" s="7" t="s">
        <v>623</v>
      </c>
    </row>
    <row r="75" ht="21" spans="1:13">
      <c r="A75" s="7"/>
      <c r="B75" s="7"/>
      <c r="C75" s="8"/>
      <c r="D75" s="7"/>
      <c r="E75" s="18"/>
      <c r="F75" s="18" t="s">
        <v>511</v>
      </c>
      <c r="G75" s="7"/>
      <c r="H75" s="7"/>
      <c r="I75" s="7"/>
      <c r="J75" s="7"/>
      <c r="K75" s="7"/>
      <c r="L75" s="7"/>
      <c r="M75" s="7"/>
    </row>
    <row r="76" ht="21" spans="1:13">
      <c r="A76" s="7"/>
      <c r="B76" s="7"/>
      <c r="C76" s="8"/>
      <c r="D76" s="7"/>
      <c r="E76" s="18"/>
      <c r="F76" s="18" t="s">
        <v>512</v>
      </c>
      <c r="G76" s="7"/>
      <c r="H76" s="7"/>
      <c r="I76" s="7"/>
      <c r="J76" s="7"/>
      <c r="K76" s="7"/>
      <c r="L76" s="7"/>
      <c r="M76" s="7"/>
    </row>
    <row r="77" spans="1:13">
      <c r="A77" s="7"/>
      <c r="B77" s="7"/>
      <c r="C77" s="8"/>
      <c r="D77" s="7"/>
      <c r="E77" s="18" t="s">
        <v>513</v>
      </c>
      <c r="F77" s="18" t="s">
        <v>514</v>
      </c>
      <c r="G77" s="7" t="s">
        <v>624</v>
      </c>
      <c r="H77" s="7" t="s">
        <v>539</v>
      </c>
      <c r="I77" s="7"/>
      <c r="J77" s="7"/>
      <c r="K77" s="7" t="s">
        <v>625</v>
      </c>
      <c r="L77" s="7" t="s">
        <v>527</v>
      </c>
      <c r="M77" s="7"/>
    </row>
    <row r="78" ht="18" spans="1:13">
      <c r="A78" s="7"/>
      <c r="B78" s="7"/>
      <c r="C78" s="8"/>
      <c r="D78" s="7"/>
      <c r="E78" s="18"/>
      <c r="F78" s="18" t="s">
        <v>521</v>
      </c>
      <c r="G78" s="7" t="s">
        <v>626</v>
      </c>
      <c r="H78" s="7" t="s">
        <v>550</v>
      </c>
      <c r="I78" s="7"/>
      <c r="J78" s="7"/>
      <c r="K78" s="7" t="s">
        <v>526</v>
      </c>
      <c r="L78" s="7" t="s">
        <v>527</v>
      </c>
      <c r="M78" s="7"/>
    </row>
    <row r="79" spans="1:13">
      <c r="A79" s="7"/>
      <c r="B79" s="7"/>
      <c r="C79" s="8"/>
      <c r="D79" s="7"/>
      <c r="E79" s="18"/>
      <c r="F79" s="18" t="s">
        <v>528</v>
      </c>
      <c r="G79" s="7" t="s">
        <v>627</v>
      </c>
      <c r="H79" s="7" t="s">
        <v>550</v>
      </c>
      <c r="I79" s="7"/>
      <c r="J79" s="7"/>
      <c r="K79" s="7" t="s">
        <v>526</v>
      </c>
      <c r="L79" s="7" t="s">
        <v>527</v>
      </c>
      <c r="M79" s="7"/>
    </row>
    <row r="80" ht="21" spans="1:13">
      <c r="A80" s="7"/>
      <c r="B80" s="7"/>
      <c r="C80" s="8"/>
      <c r="D80" s="7"/>
      <c r="E80" s="18" t="s">
        <v>535</v>
      </c>
      <c r="F80" s="18" t="s">
        <v>536</v>
      </c>
      <c r="G80" s="7"/>
      <c r="H80" s="7"/>
      <c r="I80" s="7"/>
      <c r="J80" s="7"/>
      <c r="K80" s="7"/>
      <c r="L80" s="7"/>
      <c r="M80" s="7"/>
    </row>
    <row r="81" ht="18" spans="1:13">
      <c r="A81" s="7"/>
      <c r="B81" s="7"/>
      <c r="C81" s="8"/>
      <c r="D81" s="7"/>
      <c r="E81" s="18"/>
      <c r="F81" s="18" t="s">
        <v>537</v>
      </c>
      <c r="G81" s="7" t="s">
        <v>628</v>
      </c>
      <c r="H81" s="7" t="s">
        <v>583</v>
      </c>
      <c r="I81" s="7"/>
      <c r="J81" s="7"/>
      <c r="K81" s="7" t="s">
        <v>526</v>
      </c>
      <c r="L81" s="7" t="s">
        <v>629</v>
      </c>
      <c r="M81" s="7"/>
    </row>
    <row r="82" ht="18" spans="1:13">
      <c r="A82" s="7"/>
      <c r="B82" s="7"/>
      <c r="C82" s="8"/>
      <c r="D82" s="7"/>
      <c r="E82" s="18"/>
      <c r="F82" s="18"/>
      <c r="G82" s="7" t="s">
        <v>630</v>
      </c>
      <c r="H82" s="7" t="s">
        <v>631</v>
      </c>
      <c r="I82" s="7"/>
      <c r="J82" s="7"/>
      <c r="K82" s="7"/>
      <c r="L82" s="7" t="s">
        <v>534</v>
      </c>
      <c r="M82" s="7"/>
    </row>
    <row r="83" ht="21" spans="1:13">
      <c r="A83" s="7"/>
      <c r="B83" s="7"/>
      <c r="C83" s="8"/>
      <c r="D83" s="7"/>
      <c r="E83" s="18"/>
      <c r="F83" s="18" t="s">
        <v>542</v>
      </c>
      <c r="G83" s="7"/>
      <c r="H83" s="7"/>
      <c r="I83" s="7"/>
      <c r="J83" s="7"/>
      <c r="K83" s="7"/>
      <c r="L83" s="7"/>
      <c r="M83" s="7"/>
    </row>
    <row r="84" ht="21" spans="1:13">
      <c r="A84" s="7"/>
      <c r="B84" s="7"/>
      <c r="C84" s="8"/>
      <c r="D84" s="7"/>
      <c r="E84" s="18"/>
      <c r="F84" s="18" t="s">
        <v>546</v>
      </c>
      <c r="G84" s="7"/>
      <c r="H84" s="7"/>
      <c r="I84" s="7"/>
      <c r="J84" s="7"/>
      <c r="K84" s="7"/>
      <c r="L84" s="7"/>
      <c r="M84" s="7"/>
    </row>
    <row r="85" ht="21" spans="1:13">
      <c r="A85" s="7"/>
      <c r="B85" s="7"/>
      <c r="C85" s="8"/>
      <c r="D85" s="7"/>
      <c r="E85" s="18" t="s">
        <v>547</v>
      </c>
      <c r="F85" s="18" t="s">
        <v>548</v>
      </c>
      <c r="G85" s="7" t="s">
        <v>549</v>
      </c>
      <c r="H85" s="7" t="s">
        <v>550</v>
      </c>
      <c r="I85" s="7"/>
      <c r="J85" s="7"/>
      <c r="K85" s="7" t="s">
        <v>526</v>
      </c>
      <c r="L85" s="7" t="s">
        <v>527</v>
      </c>
      <c r="M85" s="7"/>
    </row>
  </sheetData>
  <mergeCells count="59">
    <mergeCell ref="C2:M2"/>
    <mergeCell ref="A3:K3"/>
    <mergeCell ref="L3:M3"/>
    <mergeCell ref="E4:M4"/>
    <mergeCell ref="A4:A5"/>
    <mergeCell ref="A7:A17"/>
    <mergeCell ref="A18:A28"/>
    <mergeCell ref="A29:A39"/>
    <mergeCell ref="A40:A50"/>
    <mergeCell ref="A51:A62"/>
    <mergeCell ref="A63:A73"/>
    <mergeCell ref="A74:A85"/>
    <mergeCell ref="B4:B5"/>
    <mergeCell ref="B7:B17"/>
    <mergeCell ref="B18:B28"/>
    <mergeCell ref="B29:B39"/>
    <mergeCell ref="B40:B50"/>
    <mergeCell ref="B51:B62"/>
    <mergeCell ref="B63:B73"/>
    <mergeCell ref="B74:B85"/>
    <mergeCell ref="C4:C5"/>
    <mergeCell ref="C7:C17"/>
    <mergeCell ref="C18:C28"/>
    <mergeCell ref="C29:C39"/>
    <mergeCell ref="C40:C50"/>
    <mergeCell ref="C51:C62"/>
    <mergeCell ref="C63:C73"/>
    <mergeCell ref="C74:C85"/>
    <mergeCell ref="D4:D5"/>
    <mergeCell ref="D7:D17"/>
    <mergeCell ref="D18:D28"/>
    <mergeCell ref="D29:D39"/>
    <mergeCell ref="D40:D50"/>
    <mergeCell ref="D51:D62"/>
    <mergeCell ref="D63:D73"/>
    <mergeCell ref="D74:D85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7"/>
    <mergeCell ref="E58:E61"/>
    <mergeCell ref="E63:E65"/>
    <mergeCell ref="E66:E68"/>
    <mergeCell ref="E69:E72"/>
    <mergeCell ref="E74:E76"/>
    <mergeCell ref="E77:E79"/>
    <mergeCell ref="E80:E84"/>
    <mergeCell ref="F54:F55"/>
    <mergeCell ref="F81:F8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75"/>
  <sheetViews>
    <sheetView tabSelected="1" workbookViewId="0">
      <pane ySplit="7" topLeftCell="A65" activePane="bottomLeft" state="frozen"/>
      <selection/>
      <selection pane="bottomLeft" activeCell="B63" sqref="B63:B75"/>
    </sheetView>
  </sheetViews>
  <sheetFormatPr defaultColWidth="9.775" defaultRowHeight="14.25"/>
  <cols>
    <col min="1" max="1" width="7.55833333333333" customWidth="1"/>
    <col min="2" max="2" width="17" customWidth="1"/>
    <col min="3" max="3" width="8.66666666666667" customWidth="1"/>
    <col min="4" max="4" width="7.55833333333333" customWidth="1"/>
    <col min="5" max="5" width="8" customWidth="1"/>
    <col min="6" max="6" width="8.775" customWidth="1"/>
    <col min="7" max="7" width="8.10833333333333" customWidth="1"/>
    <col min="8" max="9" width="7.55833333333333" customWidth="1"/>
    <col min="10" max="10" width="28.2166666666667" customWidth="1"/>
    <col min="11" max="11" width="7" customWidth="1"/>
    <col min="12" max="12" width="7.88333333333333" customWidth="1"/>
    <col min="13" max="13" width="9.10833333333333" customWidth="1"/>
    <col min="14" max="14" width="8" customWidth="1"/>
    <col min="15" max="15" width="7.44166666666667" customWidth="1"/>
    <col min="16" max="16" width="6.55833333333333" customWidth="1"/>
    <col min="17" max="17" width="21.8833333333333" customWidth="1"/>
    <col min="18" max="18" width="33.2166666666667" customWidth="1"/>
    <col min="19" max="19" width="12.6666666666667" customWidth="1"/>
  </cols>
  <sheetData>
    <row r="1" ht="16.35" customHeight="1" spans="1:19">
      <c r="A1" s="1"/>
      <c r="S1" s="1" t="s">
        <v>632</v>
      </c>
    </row>
    <row r="2" ht="42.3" customHeight="1" spans="1:19">
      <c r="A2" s="2" t="s">
        <v>29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32</v>
      </c>
      <c r="R4" s="11"/>
      <c r="S4" s="11"/>
    </row>
    <row r="5" ht="18.15" customHeight="1" spans="1:19">
      <c r="A5" s="4" t="s">
        <v>447</v>
      </c>
      <c r="B5" s="4" t="s">
        <v>448</v>
      </c>
      <c r="C5" s="4" t="s">
        <v>633</v>
      </c>
      <c r="D5" s="4"/>
      <c r="E5" s="4"/>
      <c r="F5" s="4"/>
      <c r="G5" s="4"/>
      <c r="H5" s="4"/>
      <c r="I5" s="4"/>
      <c r="J5" s="4" t="s">
        <v>634</v>
      </c>
      <c r="K5" s="4" t="s">
        <v>635</v>
      </c>
      <c r="L5" s="4"/>
      <c r="M5" s="4"/>
      <c r="N5" s="4"/>
      <c r="O5" s="4"/>
      <c r="P5" s="4"/>
      <c r="Q5" s="4"/>
      <c r="R5" s="4"/>
      <c r="S5" s="4"/>
    </row>
    <row r="6" ht="18.9" customHeight="1" spans="1:19">
      <c r="A6" s="4"/>
      <c r="B6" s="4"/>
      <c r="C6" s="4" t="s">
        <v>489</v>
      </c>
      <c r="D6" s="4" t="s">
        <v>636</v>
      </c>
      <c r="E6" s="4"/>
      <c r="F6" s="4"/>
      <c r="G6" s="4"/>
      <c r="H6" s="4" t="s">
        <v>637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139</v>
      </c>
      <c r="E7" s="4" t="s">
        <v>638</v>
      </c>
      <c r="F7" s="4" t="s">
        <v>143</v>
      </c>
      <c r="G7" s="4" t="s">
        <v>639</v>
      </c>
      <c r="H7" s="4" t="s">
        <v>171</v>
      </c>
      <c r="I7" s="4" t="s">
        <v>172</v>
      </c>
      <c r="J7" s="4"/>
      <c r="K7" s="4" t="s">
        <v>492</v>
      </c>
      <c r="L7" s="4" t="s">
        <v>493</v>
      </c>
      <c r="M7" s="4" t="s">
        <v>494</v>
      </c>
      <c r="N7" s="4" t="s">
        <v>499</v>
      </c>
      <c r="O7" s="4" t="s">
        <v>495</v>
      </c>
      <c r="P7" s="4" t="s">
        <v>640</v>
      </c>
      <c r="Q7" s="4" t="s">
        <v>641</v>
      </c>
      <c r="R7" s="4" t="s">
        <v>642</v>
      </c>
      <c r="S7" s="4" t="s">
        <v>500</v>
      </c>
    </row>
    <row r="8" ht="19.8" customHeight="1" spans="1:19">
      <c r="A8" s="5" t="s">
        <v>2</v>
      </c>
      <c r="B8" s="5" t="s">
        <v>4</v>
      </c>
      <c r="C8" s="6">
        <v>338.107756</v>
      </c>
      <c r="D8" s="6">
        <v>338.107756</v>
      </c>
      <c r="E8" s="6"/>
      <c r="F8" s="6"/>
      <c r="G8" s="6"/>
      <c r="H8" s="6">
        <v>137.107756</v>
      </c>
      <c r="I8" s="6">
        <v>201</v>
      </c>
      <c r="J8" s="5" t="s">
        <v>643</v>
      </c>
      <c r="K8" s="5" t="s">
        <v>503</v>
      </c>
      <c r="L8" s="5" t="s">
        <v>504</v>
      </c>
      <c r="M8" s="5" t="s">
        <v>505</v>
      </c>
      <c r="N8" s="5" t="s">
        <v>510</v>
      </c>
      <c r="O8" s="5" t="s">
        <v>644</v>
      </c>
      <c r="P8" s="5" t="s">
        <v>509</v>
      </c>
      <c r="Q8" s="5" t="s">
        <v>645</v>
      </c>
      <c r="R8" s="5" t="s">
        <v>646</v>
      </c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511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512</v>
      </c>
      <c r="M10" s="5"/>
      <c r="N10" s="5"/>
      <c r="O10" s="5"/>
      <c r="P10" s="5"/>
      <c r="Q10" s="5"/>
      <c r="R10" s="5"/>
      <c r="S10" s="5"/>
    </row>
    <row r="11" ht="19.8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9" t="s">
        <v>513</v>
      </c>
      <c r="L11" s="9" t="s">
        <v>514</v>
      </c>
      <c r="M11" s="5" t="s">
        <v>647</v>
      </c>
      <c r="N11" s="5" t="s">
        <v>629</v>
      </c>
      <c r="O11" s="5" t="s">
        <v>583</v>
      </c>
      <c r="P11" s="5" t="s">
        <v>526</v>
      </c>
      <c r="Q11" s="5" t="s">
        <v>648</v>
      </c>
      <c r="R11" s="5" t="s">
        <v>646</v>
      </c>
      <c r="S11" s="5"/>
    </row>
    <row r="12" ht="19.8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9"/>
      <c r="L12" s="9" t="s">
        <v>521</v>
      </c>
      <c r="M12" s="5" t="s">
        <v>649</v>
      </c>
      <c r="N12" s="5" t="s">
        <v>629</v>
      </c>
      <c r="O12" s="5" t="s">
        <v>583</v>
      </c>
      <c r="P12" s="5" t="s">
        <v>526</v>
      </c>
      <c r="Q12" s="5" t="s">
        <v>649</v>
      </c>
      <c r="R12" s="5" t="s">
        <v>646</v>
      </c>
      <c r="S12" s="5"/>
    </row>
    <row r="13" ht="19.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9"/>
      <c r="L13" s="9" t="s">
        <v>528</v>
      </c>
      <c r="M13" s="5" t="s">
        <v>650</v>
      </c>
      <c r="N13" s="5" t="s">
        <v>527</v>
      </c>
      <c r="O13" s="5" t="s">
        <v>550</v>
      </c>
      <c r="P13" s="5" t="s">
        <v>526</v>
      </c>
      <c r="Q13" s="5" t="s">
        <v>651</v>
      </c>
      <c r="R13" s="5" t="s">
        <v>646</v>
      </c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9" t="s">
        <v>535</v>
      </c>
      <c r="L14" s="9" t="s">
        <v>536</v>
      </c>
      <c r="M14" s="5" t="s">
        <v>652</v>
      </c>
      <c r="N14" s="5" t="s">
        <v>534</v>
      </c>
      <c r="O14" s="5" t="s">
        <v>589</v>
      </c>
      <c r="P14" s="5"/>
      <c r="Q14" s="5" t="s">
        <v>652</v>
      </c>
      <c r="R14" s="5" t="s">
        <v>646</v>
      </c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9"/>
      <c r="L15" s="9" t="s">
        <v>537</v>
      </c>
      <c r="M15" s="5" t="s">
        <v>653</v>
      </c>
      <c r="N15" s="5" t="s">
        <v>629</v>
      </c>
      <c r="O15" s="5" t="s">
        <v>654</v>
      </c>
      <c r="P15" s="5" t="s">
        <v>526</v>
      </c>
      <c r="Q15" s="5" t="s">
        <v>655</v>
      </c>
      <c r="R15" s="5" t="s">
        <v>646</v>
      </c>
      <c r="S15" s="5"/>
    </row>
    <row r="16" ht="39.6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9"/>
      <c r="L16" s="9" t="s">
        <v>542</v>
      </c>
      <c r="M16" s="5" t="s">
        <v>656</v>
      </c>
      <c r="N16" s="5" t="s">
        <v>534</v>
      </c>
      <c r="O16" s="5" t="s">
        <v>657</v>
      </c>
      <c r="P16" s="5"/>
      <c r="Q16" s="5" t="s">
        <v>656</v>
      </c>
      <c r="R16" s="5" t="s">
        <v>646</v>
      </c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9"/>
      <c r="L17" s="9" t="s">
        <v>546</v>
      </c>
      <c r="M17" s="5" t="s">
        <v>658</v>
      </c>
      <c r="N17" s="5" t="s">
        <v>534</v>
      </c>
      <c r="O17" s="5" t="s">
        <v>659</v>
      </c>
      <c r="P17" s="5"/>
      <c r="Q17" s="5" t="s">
        <v>658</v>
      </c>
      <c r="R17" s="5" t="s">
        <v>646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9" t="s">
        <v>547</v>
      </c>
      <c r="L18" s="9" t="s">
        <v>548</v>
      </c>
      <c r="M18" s="5" t="s">
        <v>549</v>
      </c>
      <c r="N18" s="5" t="s">
        <v>527</v>
      </c>
      <c r="O18" s="5" t="s">
        <v>550</v>
      </c>
      <c r="P18" s="5" t="s">
        <v>526</v>
      </c>
      <c r="Q18" s="5" t="s">
        <v>551</v>
      </c>
      <c r="R18" s="5" t="s">
        <v>646</v>
      </c>
      <c r="S18" s="5"/>
    </row>
    <row r="19" ht="19.8" customHeight="1" spans="1:19">
      <c r="A19" s="7" t="s">
        <v>660</v>
      </c>
      <c r="B19" s="7" t="s">
        <v>661</v>
      </c>
      <c r="C19" s="8">
        <v>152.049292</v>
      </c>
      <c r="D19" s="8">
        <v>152.049292</v>
      </c>
      <c r="E19" s="8"/>
      <c r="F19" s="8"/>
      <c r="G19" s="8"/>
      <c r="H19" s="8">
        <v>152.049292</v>
      </c>
      <c r="I19" s="8"/>
      <c r="J19" s="7" t="s">
        <v>662</v>
      </c>
      <c r="K19" s="7" t="s">
        <v>503</v>
      </c>
      <c r="L19" s="7" t="s">
        <v>504</v>
      </c>
      <c r="M19" s="7" t="s">
        <v>505</v>
      </c>
      <c r="N19" s="7" t="s">
        <v>510</v>
      </c>
      <c r="O19" s="7" t="s">
        <v>663</v>
      </c>
      <c r="P19" s="7" t="s">
        <v>509</v>
      </c>
      <c r="Q19" s="7" t="s">
        <v>664</v>
      </c>
      <c r="R19" s="7" t="s">
        <v>533</v>
      </c>
      <c r="S19" s="7"/>
    </row>
    <row r="20" ht="19.8" customHeight="1" spans="1:19">
      <c r="A20" s="7"/>
      <c r="B20" s="7"/>
      <c r="C20" s="8"/>
      <c r="D20" s="8"/>
      <c r="E20" s="8"/>
      <c r="F20" s="8"/>
      <c r="G20" s="8"/>
      <c r="H20" s="8"/>
      <c r="I20" s="8"/>
      <c r="J20" s="7"/>
      <c r="K20" s="7"/>
      <c r="L20" s="7" t="s">
        <v>511</v>
      </c>
      <c r="M20" s="7"/>
      <c r="N20" s="7"/>
      <c r="O20" s="7"/>
      <c r="P20" s="7"/>
      <c r="Q20" s="7"/>
      <c r="R20" s="7"/>
      <c r="S20" s="7"/>
    </row>
    <row r="21" ht="19.8" customHeight="1" spans="1:19">
      <c r="A21" s="7"/>
      <c r="B21" s="7"/>
      <c r="C21" s="8"/>
      <c r="D21" s="8"/>
      <c r="E21" s="8"/>
      <c r="F21" s="8"/>
      <c r="G21" s="8"/>
      <c r="H21" s="8"/>
      <c r="I21" s="8"/>
      <c r="J21" s="7"/>
      <c r="K21" s="7"/>
      <c r="L21" s="7" t="s">
        <v>512</v>
      </c>
      <c r="M21" s="7"/>
      <c r="N21" s="7"/>
      <c r="O21" s="7"/>
      <c r="P21" s="7"/>
      <c r="Q21" s="7"/>
      <c r="R21" s="7"/>
      <c r="S21" s="7"/>
    </row>
    <row r="22" ht="19.8" customHeight="1" spans="1:19">
      <c r="A22" s="7"/>
      <c r="B22" s="7"/>
      <c r="C22" s="8"/>
      <c r="D22" s="8"/>
      <c r="E22" s="8"/>
      <c r="F22" s="8"/>
      <c r="G22" s="8"/>
      <c r="H22" s="8"/>
      <c r="I22" s="8"/>
      <c r="J22" s="7"/>
      <c r="K22" s="10" t="s">
        <v>513</v>
      </c>
      <c r="L22" s="10" t="s">
        <v>514</v>
      </c>
      <c r="M22" s="7" t="s">
        <v>665</v>
      </c>
      <c r="N22" s="7" t="s">
        <v>527</v>
      </c>
      <c r="O22" s="7" t="s">
        <v>666</v>
      </c>
      <c r="P22" s="7" t="s">
        <v>667</v>
      </c>
      <c r="Q22" s="7" t="s">
        <v>648</v>
      </c>
      <c r="R22" s="7" t="s">
        <v>533</v>
      </c>
      <c r="S22" s="7"/>
    </row>
    <row r="23" ht="19.8" customHeight="1" spans="1:19">
      <c r="A23" s="7"/>
      <c r="B23" s="7"/>
      <c r="C23" s="8"/>
      <c r="D23" s="8"/>
      <c r="E23" s="8"/>
      <c r="F23" s="8"/>
      <c r="G23" s="8"/>
      <c r="H23" s="8"/>
      <c r="I23" s="8"/>
      <c r="J23" s="7"/>
      <c r="K23" s="10"/>
      <c r="L23" s="10" t="s">
        <v>521</v>
      </c>
      <c r="M23" s="7" t="s">
        <v>668</v>
      </c>
      <c r="N23" s="7" t="s">
        <v>629</v>
      </c>
      <c r="O23" s="7" t="s">
        <v>583</v>
      </c>
      <c r="P23" s="7" t="s">
        <v>526</v>
      </c>
      <c r="Q23" s="7" t="s">
        <v>669</v>
      </c>
      <c r="R23" s="7" t="s">
        <v>533</v>
      </c>
      <c r="S23" s="7"/>
    </row>
    <row r="24" ht="16.35" customHeight="1" spans="1:19">
      <c r="A24" s="7"/>
      <c r="B24" s="7"/>
      <c r="C24" s="8"/>
      <c r="D24" s="8"/>
      <c r="E24" s="8"/>
      <c r="F24" s="8"/>
      <c r="G24" s="8"/>
      <c r="H24" s="8"/>
      <c r="I24" s="8"/>
      <c r="J24" s="7"/>
      <c r="K24" s="10"/>
      <c r="L24" s="10" t="s">
        <v>528</v>
      </c>
      <c r="M24" s="7" t="s">
        <v>670</v>
      </c>
      <c r="N24" s="7" t="s">
        <v>629</v>
      </c>
      <c r="O24" s="7" t="s">
        <v>583</v>
      </c>
      <c r="P24" s="7" t="s">
        <v>526</v>
      </c>
      <c r="Q24" s="7" t="s">
        <v>671</v>
      </c>
      <c r="R24" s="7" t="s">
        <v>533</v>
      </c>
      <c r="S24" s="7"/>
    </row>
    <row r="25" ht="18" spans="1:19">
      <c r="A25" s="7"/>
      <c r="B25" s="7"/>
      <c r="C25" s="8"/>
      <c r="D25" s="8"/>
      <c r="E25" s="8"/>
      <c r="F25" s="8"/>
      <c r="G25" s="8"/>
      <c r="H25" s="8"/>
      <c r="I25" s="8"/>
      <c r="J25" s="7"/>
      <c r="K25" s="10" t="s">
        <v>535</v>
      </c>
      <c r="L25" s="10" t="s">
        <v>536</v>
      </c>
      <c r="M25" s="7" t="s">
        <v>672</v>
      </c>
      <c r="N25" s="7" t="s">
        <v>534</v>
      </c>
      <c r="O25" s="7" t="s">
        <v>657</v>
      </c>
      <c r="P25" s="7"/>
      <c r="Q25" s="7" t="s">
        <v>673</v>
      </c>
      <c r="R25" s="7" t="s">
        <v>533</v>
      </c>
      <c r="S25" s="7"/>
    </row>
    <row r="26" ht="18" spans="1:19">
      <c r="A26" s="7"/>
      <c r="B26" s="7"/>
      <c r="C26" s="8"/>
      <c r="D26" s="8"/>
      <c r="E26" s="8"/>
      <c r="F26" s="8"/>
      <c r="G26" s="8"/>
      <c r="H26" s="8"/>
      <c r="I26" s="8"/>
      <c r="J26" s="7"/>
      <c r="K26" s="10"/>
      <c r="L26" s="10" t="s">
        <v>537</v>
      </c>
      <c r="M26" s="7" t="s">
        <v>674</v>
      </c>
      <c r="N26" s="7" t="s">
        <v>534</v>
      </c>
      <c r="O26" s="7" t="s">
        <v>607</v>
      </c>
      <c r="P26" s="7"/>
      <c r="Q26" s="7" t="s">
        <v>675</v>
      </c>
      <c r="R26" s="7" t="s">
        <v>533</v>
      </c>
      <c r="S26" s="7"/>
    </row>
    <row r="27" ht="18" spans="1:19">
      <c r="A27" s="7"/>
      <c r="B27" s="7"/>
      <c r="C27" s="8"/>
      <c r="D27" s="8"/>
      <c r="E27" s="8"/>
      <c r="F27" s="8"/>
      <c r="G27" s="8"/>
      <c r="H27" s="8"/>
      <c r="I27" s="8"/>
      <c r="J27" s="7"/>
      <c r="K27" s="10"/>
      <c r="L27" s="10" t="s">
        <v>542</v>
      </c>
      <c r="M27" s="7" t="s">
        <v>676</v>
      </c>
      <c r="N27" s="7" t="s">
        <v>534</v>
      </c>
      <c r="O27" s="7" t="s">
        <v>657</v>
      </c>
      <c r="P27" s="7"/>
      <c r="Q27" s="7" t="s">
        <v>677</v>
      </c>
      <c r="R27" s="7" t="s">
        <v>533</v>
      </c>
      <c r="S27" s="7"/>
    </row>
    <row r="28" ht="18" spans="1:19">
      <c r="A28" s="7"/>
      <c r="B28" s="7"/>
      <c r="C28" s="8"/>
      <c r="D28" s="8"/>
      <c r="E28" s="8"/>
      <c r="F28" s="8"/>
      <c r="G28" s="8"/>
      <c r="H28" s="8"/>
      <c r="I28" s="8"/>
      <c r="J28" s="7"/>
      <c r="K28" s="10"/>
      <c r="L28" s="10" t="s">
        <v>546</v>
      </c>
      <c r="M28" s="7" t="s">
        <v>678</v>
      </c>
      <c r="N28" s="7" t="s">
        <v>534</v>
      </c>
      <c r="O28" s="7" t="s">
        <v>659</v>
      </c>
      <c r="P28" s="7"/>
      <c r="Q28" s="7" t="s">
        <v>658</v>
      </c>
      <c r="R28" s="7" t="s">
        <v>533</v>
      </c>
      <c r="S28" s="7"/>
    </row>
    <row r="29" ht="18" spans="1:19">
      <c r="A29" s="7"/>
      <c r="B29" s="7"/>
      <c r="C29" s="8"/>
      <c r="D29" s="8"/>
      <c r="E29" s="8"/>
      <c r="F29" s="8"/>
      <c r="G29" s="8"/>
      <c r="H29" s="8"/>
      <c r="I29" s="8"/>
      <c r="J29" s="7"/>
      <c r="K29" s="10" t="s">
        <v>547</v>
      </c>
      <c r="L29" s="10" t="s">
        <v>548</v>
      </c>
      <c r="M29" s="7" t="s">
        <v>549</v>
      </c>
      <c r="N29" s="7" t="s">
        <v>527</v>
      </c>
      <c r="O29" s="7" t="s">
        <v>550</v>
      </c>
      <c r="P29" s="7" t="s">
        <v>526</v>
      </c>
      <c r="Q29" s="7" t="s">
        <v>551</v>
      </c>
      <c r="R29" s="7" t="s">
        <v>533</v>
      </c>
      <c r="S29" s="7"/>
    </row>
    <row r="30" spans="1:19">
      <c r="A30" s="7" t="s">
        <v>679</v>
      </c>
      <c r="B30" s="7" t="s">
        <v>680</v>
      </c>
      <c r="C30" s="8">
        <v>68.335678</v>
      </c>
      <c r="D30" s="8">
        <v>68.335678</v>
      </c>
      <c r="E30" s="8"/>
      <c r="F30" s="8"/>
      <c r="G30" s="8"/>
      <c r="H30" s="8">
        <v>68.335678</v>
      </c>
      <c r="I30" s="8"/>
      <c r="J30" s="7" t="s">
        <v>681</v>
      </c>
      <c r="K30" s="7" t="s">
        <v>503</v>
      </c>
      <c r="L30" s="7" t="s">
        <v>504</v>
      </c>
      <c r="M30" s="7" t="s">
        <v>505</v>
      </c>
      <c r="N30" s="7" t="s">
        <v>510</v>
      </c>
      <c r="O30" s="7" t="s">
        <v>682</v>
      </c>
      <c r="P30" s="7" t="s">
        <v>509</v>
      </c>
      <c r="Q30" s="7"/>
      <c r="R30" s="7" t="s">
        <v>646</v>
      </c>
      <c r="S30" s="7"/>
    </row>
    <row r="31" spans="1:19">
      <c r="A31" s="7"/>
      <c r="B31" s="7"/>
      <c r="C31" s="8"/>
      <c r="D31" s="8"/>
      <c r="E31" s="8"/>
      <c r="F31" s="8"/>
      <c r="G31" s="8"/>
      <c r="H31" s="8"/>
      <c r="I31" s="8"/>
      <c r="J31" s="7"/>
      <c r="K31" s="7"/>
      <c r="L31" s="7" t="s">
        <v>511</v>
      </c>
      <c r="M31" s="7" t="s">
        <v>683</v>
      </c>
      <c r="N31" s="7" t="s">
        <v>527</v>
      </c>
      <c r="O31" s="7" t="s">
        <v>684</v>
      </c>
      <c r="P31" s="7" t="s">
        <v>526</v>
      </c>
      <c r="Q31" s="7"/>
      <c r="R31" s="7" t="s">
        <v>685</v>
      </c>
      <c r="S31" s="7"/>
    </row>
    <row r="32" ht="18" spans="1:19">
      <c r="A32" s="7"/>
      <c r="B32" s="7"/>
      <c r="C32" s="8"/>
      <c r="D32" s="8"/>
      <c r="E32" s="8"/>
      <c r="F32" s="8"/>
      <c r="G32" s="8"/>
      <c r="H32" s="8"/>
      <c r="I32" s="8"/>
      <c r="J32" s="7"/>
      <c r="K32" s="7"/>
      <c r="L32" s="7" t="s">
        <v>512</v>
      </c>
      <c r="M32" s="7" t="s">
        <v>686</v>
      </c>
      <c r="N32" s="7" t="s">
        <v>534</v>
      </c>
      <c r="O32" s="7" t="s">
        <v>687</v>
      </c>
      <c r="P32" s="7"/>
      <c r="Q32" s="7"/>
      <c r="R32" s="7" t="s">
        <v>646</v>
      </c>
      <c r="S32" s="7"/>
    </row>
    <row r="33" ht="18" spans="1:19">
      <c r="A33" s="7"/>
      <c r="B33" s="7"/>
      <c r="C33" s="8"/>
      <c r="D33" s="8"/>
      <c r="E33" s="8"/>
      <c r="F33" s="8"/>
      <c r="G33" s="8"/>
      <c r="H33" s="8"/>
      <c r="I33" s="8"/>
      <c r="J33" s="7"/>
      <c r="K33" s="10" t="s">
        <v>513</v>
      </c>
      <c r="L33" s="10" t="s">
        <v>514</v>
      </c>
      <c r="M33" s="7" t="s">
        <v>688</v>
      </c>
      <c r="N33" s="7" t="s">
        <v>527</v>
      </c>
      <c r="O33" s="7" t="s">
        <v>689</v>
      </c>
      <c r="P33" s="7" t="s">
        <v>667</v>
      </c>
      <c r="Q33" s="7"/>
      <c r="R33" s="7" t="s">
        <v>646</v>
      </c>
      <c r="S33" s="7"/>
    </row>
    <row r="34" spans="1:19">
      <c r="A34" s="7"/>
      <c r="B34" s="7"/>
      <c r="C34" s="8"/>
      <c r="D34" s="8"/>
      <c r="E34" s="8"/>
      <c r="F34" s="8"/>
      <c r="G34" s="8"/>
      <c r="H34" s="8"/>
      <c r="I34" s="8"/>
      <c r="J34" s="7"/>
      <c r="K34" s="10"/>
      <c r="L34" s="10" t="s">
        <v>521</v>
      </c>
      <c r="M34" s="7" t="s">
        <v>690</v>
      </c>
      <c r="N34" s="7" t="s">
        <v>527</v>
      </c>
      <c r="O34" s="7" t="s">
        <v>583</v>
      </c>
      <c r="P34" s="7" t="s">
        <v>526</v>
      </c>
      <c r="Q34" s="7"/>
      <c r="R34" s="7" t="s">
        <v>646</v>
      </c>
      <c r="S34" s="7"/>
    </row>
    <row r="35" spans="1:19">
      <c r="A35" s="7"/>
      <c r="B35" s="7"/>
      <c r="C35" s="8"/>
      <c r="D35" s="8"/>
      <c r="E35" s="8"/>
      <c r="F35" s="8"/>
      <c r="G35" s="8"/>
      <c r="H35" s="8"/>
      <c r="I35" s="8"/>
      <c r="J35" s="7"/>
      <c r="K35" s="10"/>
      <c r="L35" s="10" t="s">
        <v>528</v>
      </c>
      <c r="M35" s="7" t="s">
        <v>691</v>
      </c>
      <c r="N35" s="7" t="s">
        <v>527</v>
      </c>
      <c r="O35" s="7" t="s">
        <v>684</v>
      </c>
      <c r="P35" s="7" t="s">
        <v>526</v>
      </c>
      <c r="Q35" s="7"/>
      <c r="R35" s="7" t="s">
        <v>646</v>
      </c>
      <c r="S35" s="7"/>
    </row>
    <row r="36" ht="18" spans="1:19">
      <c r="A36" s="7"/>
      <c r="B36" s="7"/>
      <c r="C36" s="8"/>
      <c r="D36" s="8"/>
      <c r="E36" s="8"/>
      <c r="F36" s="8"/>
      <c r="G36" s="8"/>
      <c r="H36" s="8"/>
      <c r="I36" s="8"/>
      <c r="J36" s="7"/>
      <c r="K36" s="10" t="s">
        <v>535</v>
      </c>
      <c r="L36" s="10" t="s">
        <v>536</v>
      </c>
      <c r="M36" s="7" t="s">
        <v>692</v>
      </c>
      <c r="N36" s="7" t="s">
        <v>534</v>
      </c>
      <c r="O36" s="7" t="s">
        <v>607</v>
      </c>
      <c r="P36" s="7"/>
      <c r="Q36" s="7"/>
      <c r="R36" s="7" t="s">
        <v>646</v>
      </c>
      <c r="S36" s="7"/>
    </row>
    <row r="37" spans="1:19">
      <c r="A37" s="7"/>
      <c r="B37" s="7"/>
      <c r="C37" s="8"/>
      <c r="D37" s="8"/>
      <c r="E37" s="8"/>
      <c r="F37" s="8"/>
      <c r="G37" s="8"/>
      <c r="H37" s="8"/>
      <c r="I37" s="8"/>
      <c r="J37" s="7"/>
      <c r="K37" s="10"/>
      <c r="L37" s="10" t="s">
        <v>537</v>
      </c>
      <c r="M37" s="7" t="s">
        <v>693</v>
      </c>
      <c r="N37" s="7" t="s">
        <v>534</v>
      </c>
      <c r="O37" s="7" t="s">
        <v>687</v>
      </c>
      <c r="P37" s="7"/>
      <c r="Q37" s="7"/>
      <c r="R37" s="7" t="s">
        <v>685</v>
      </c>
      <c r="S37" s="7"/>
    </row>
    <row r="38" ht="18" spans="1:19">
      <c r="A38" s="7"/>
      <c r="B38" s="7"/>
      <c r="C38" s="8"/>
      <c r="D38" s="8"/>
      <c r="E38" s="8"/>
      <c r="F38" s="8"/>
      <c r="G38" s="8"/>
      <c r="H38" s="8"/>
      <c r="I38" s="8"/>
      <c r="J38" s="7"/>
      <c r="K38" s="10"/>
      <c r="L38" s="10" t="s">
        <v>542</v>
      </c>
      <c r="M38" s="7" t="s">
        <v>694</v>
      </c>
      <c r="N38" s="7" t="s">
        <v>534</v>
      </c>
      <c r="O38" s="7" t="s">
        <v>687</v>
      </c>
      <c r="P38" s="7"/>
      <c r="Q38" s="7"/>
      <c r="R38" s="7" t="s">
        <v>646</v>
      </c>
      <c r="S38" s="7"/>
    </row>
    <row r="39" ht="18" spans="1:19">
      <c r="A39" s="7"/>
      <c r="B39" s="7"/>
      <c r="C39" s="8"/>
      <c r="D39" s="8"/>
      <c r="E39" s="8"/>
      <c r="F39" s="8"/>
      <c r="G39" s="8"/>
      <c r="H39" s="8"/>
      <c r="I39" s="8"/>
      <c r="J39" s="7"/>
      <c r="K39" s="10"/>
      <c r="L39" s="10" t="s">
        <v>546</v>
      </c>
      <c r="M39" s="7" t="s">
        <v>695</v>
      </c>
      <c r="N39" s="7" t="s">
        <v>527</v>
      </c>
      <c r="O39" s="7" t="s">
        <v>583</v>
      </c>
      <c r="P39" s="7" t="s">
        <v>526</v>
      </c>
      <c r="Q39" s="7"/>
      <c r="R39" s="7" t="s">
        <v>646</v>
      </c>
      <c r="S39" s="7"/>
    </row>
    <row r="40" ht="18" spans="1:19">
      <c r="A40" s="7"/>
      <c r="B40" s="7"/>
      <c r="C40" s="8"/>
      <c r="D40" s="8"/>
      <c r="E40" s="8"/>
      <c r="F40" s="8"/>
      <c r="G40" s="8"/>
      <c r="H40" s="8"/>
      <c r="I40" s="8"/>
      <c r="J40" s="7"/>
      <c r="K40" s="10" t="s">
        <v>547</v>
      </c>
      <c r="L40" s="10" t="s">
        <v>548</v>
      </c>
      <c r="M40" s="7" t="s">
        <v>696</v>
      </c>
      <c r="N40" s="7" t="s">
        <v>527</v>
      </c>
      <c r="O40" s="7" t="s">
        <v>550</v>
      </c>
      <c r="P40" s="7" t="s">
        <v>526</v>
      </c>
      <c r="Q40" s="7"/>
      <c r="R40" s="7" t="s">
        <v>646</v>
      </c>
      <c r="S40" s="7"/>
    </row>
    <row r="41" spans="1:19">
      <c r="A41" s="7" t="s">
        <v>697</v>
      </c>
      <c r="B41" s="7" t="s">
        <v>698</v>
      </c>
      <c r="C41" s="8">
        <v>145.179046</v>
      </c>
      <c r="D41" s="8">
        <v>145.179046</v>
      </c>
      <c r="E41" s="8"/>
      <c r="F41" s="8"/>
      <c r="G41" s="8"/>
      <c r="H41" s="8">
        <v>138.179046</v>
      </c>
      <c r="I41" s="8">
        <v>7</v>
      </c>
      <c r="J41" s="7"/>
      <c r="K41" s="7" t="s">
        <v>503</v>
      </c>
      <c r="L41" s="7" t="s">
        <v>504</v>
      </c>
      <c r="M41" s="7"/>
      <c r="N41" s="7"/>
      <c r="O41" s="7"/>
      <c r="P41" s="7"/>
      <c r="Q41" s="7"/>
      <c r="R41" s="7"/>
      <c r="S41" s="7"/>
    </row>
    <row r="42" spans="1:19">
      <c r="A42" s="7"/>
      <c r="B42" s="7"/>
      <c r="C42" s="8"/>
      <c r="D42" s="8"/>
      <c r="E42" s="8"/>
      <c r="F42" s="8"/>
      <c r="G42" s="8"/>
      <c r="H42" s="8"/>
      <c r="I42" s="8"/>
      <c r="J42" s="7"/>
      <c r="K42" s="7"/>
      <c r="L42" s="7" t="s">
        <v>511</v>
      </c>
      <c r="M42" s="7"/>
      <c r="N42" s="7"/>
      <c r="O42" s="7"/>
      <c r="P42" s="7"/>
      <c r="Q42" s="7"/>
      <c r="R42" s="7"/>
      <c r="S42" s="7"/>
    </row>
    <row r="43" ht="18" spans="1:19">
      <c r="A43" s="7"/>
      <c r="B43" s="7"/>
      <c r="C43" s="8"/>
      <c r="D43" s="8"/>
      <c r="E43" s="8"/>
      <c r="F43" s="8"/>
      <c r="G43" s="8"/>
      <c r="H43" s="8"/>
      <c r="I43" s="8"/>
      <c r="J43" s="7"/>
      <c r="K43" s="7"/>
      <c r="L43" s="7" t="s">
        <v>512</v>
      </c>
      <c r="M43" s="7"/>
      <c r="N43" s="7"/>
      <c r="O43" s="7"/>
      <c r="P43" s="7"/>
      <c r="Q43" s="7"/>
      <c r="R43" s="7"/>
      <c r="S43" s="7"/>
    </row>
    <row r="44" spans="1:19">
      <c r="A44" s="7"/>
      <c r="B44" s="7"/>
      <c r="C44" s="8"/>
      <c r="D44" s="8"/>
      <c r="E44" s="8"/>
      <c r="F44" s="8"/>
      <c r="G44" s="8"/>
      <c r="H44" s="8"/>
      <c r="I44" s="8"/>
      <c r="J44" s="7"/>
      <c r="K44" s="10" t="s">
        <v>513</v>
      </c>
      <c r="L44" s="10" t="s">
        <v>514</v>
      </c>
      <c r="M44" s="7"/>
      <c r="N44" s="7"/>
      <c r="O44" s="7"/>
      <c r="P44" s="7"/>
      <c r="Q44" s="7"/>
      <c r="R44" s="7"/>
      <c r="S44" s="7"/>
    </row>
    <row r="45" spans="1:19">
      <c r="A45" s="7"/>
      <c r="B45" s="7"/>
      <c r="C45" s="8"/>
      <c r="D45" s="8"/>
      <c r="E45" s="8"/>
      <c r="F45" s="8"/>
      <c r="G45" s="8"/>
      <c r="H45" s="8"/>
      <c r="I45" s="8"/>
      <c r="J45" s="7"/>
      <c r="K45" s="10"/>
      <c r="L45" s="10" t="s">
        <v>521</v>
      </c>
      <c r="M45" s="7"/>
      <c r="N45" s="7"/>
      <c r="O45" s="7"/>
      <c r="P45" s="7"/>
      <c r="Q45" s="7"/>
      <c r="R45" s="7"/>
      <c r="S45" s="7"/>
    </row>
    <row r="46" spans="1:19">
      <c r="A46" s="7"/>
      <c r="B46" s="7"/>
      <c r="C46" s="8"/>
      <c r="D46" s="8"/>
      <c r="E46" s="8"/>
      <c r="F46" s="8"/>
      <c r="G46" s="8"/>
      <c r="H46" s="8"/>
      <c r="I46" s="8"/>
      <c r="J46" s="7"/>
      <c r="K46" s="10"/>
      <c r="L46" s="10" t="s">
        <v>528</v>
      </c>
      <c r="M46" s="7"/>
      <c r="N46" s="7"/>
      <c r="O46" s="7"/>
      <c r="P46" s="7"/>
      <c r="Q46" s="7"/>
      <c r="R46" s="7"/>
      <c r="S46" s="7"/>
    </row>
    <row r="47" spans="1:19">
      <c r="A47" s="7"/>
      <c r="B47" s="7"/>
      <c r="C47" s="8"/>
      <c r="D47" s="8"/>
      <c r="E47" s="8"/>
      <c r="F47" s="8"/>
      <c r="G47" s="8"/>
      <c r="H47" s="8"/>
      <c r="I47" s="8"/>
      <c r="J47" s="7"/>
      <c r="K47" s="10" t="s">
        <v>535</v>
      </c>
      <c r="L47" s="10" t="s">
        <v>536</v>
      </c>
      <c r="M47" s="7"/>
      <c r="N47" s="7"/>
      <c r="O47" s="7"/>
      <c r="P47" s="7"/>
      <c r="Q47" s="7"/>
      <c r="R47" s="7"/>
      <c r="S47" s="7"/>
    </row>
    <row r="48" spans="1:19">
      <c r="A48" s="7"/>
      <c r="B48" s="7"/>
      <c r="C48" s="8"/>
      <c r="D48" s="8"/>
      <c r="E48" s="8"/>
      <c r="F48" s="8"/>
      <c r="G48" s="8"/>
      <c r="H48" s="8"/>
      <c r="I48" s="8"/>
      <c r="J48" s="7"/>
      <c r="K48" s="10"/>
      <c r="L48" s="10" t="s">
        <v>537</v>
      </c>
      <c r="M48" s="7"/>
      <c r="N48" s="7"/>
      <c r="O48" s="7"/>
      <c r="P48" s="7"/>
      <c r="Q48" s="7"/>
      <c r="R48" s="7"/>
      <c r="S48" s="7"/>
    </row>
    <row r="49" spans="1:19">
      <c r="A49" s="7"/>
      <c r="B49" s="7"/>
      <c r="C49" s="8"/>
      <c r="D49" s="8"/>
      <c r="E49" s="8"/>
      <c r="F49" s="8"/>
      <c r="G49" s="8"/>
      <c r="H49" s="8"/>
      <c r="I49" s="8"/>
      <c r="J49" s="7"/>
      <c r="K49" s="10"/>
      <c r="L49" s="10" t="s">
        <v>542</v>
      </c>
      <c r="M49" s="7"/>
      <c r="N49" s="7"/>
      <c r="O49" s="7"/>
      <c r="P49" s="7"/>
      <c r="Q49" s="7"/>
      <c r="R49" s="7"/>
      <c r="S49" s="7"/>
    </row>
    <row r="50" ht="18" spans="1:19">
      <c r="A50" s="7"/>
      <c r="B50" s="7"/>
      <c r="C50" s="8"/>
      <c r="D50" s="8"/>
      <c r="E50" s="8"/>
      <c r="F50" s="8"/>
      <c r="G50" s="8"/>
      <c r="H50" s="8"/>
      <c r="I50" s="8"/>
      <c r="J50" s="7"/>
      <c r="K50" s="10"/>
      <c r="L50" s="10" t="s">
        <v>546</v>
      </c>
      <c r="M50" s="7"/>
      <c r="N50" s="7"/>
      <c r="O50" s="7"/>
      <c r="P50" s="7"/>
      <c r="Q50" s="7"/>
      <c r="R50" s="7"/>
      <c r="S50" s="7"/>
    </row>
    <row r="51" ht="18" spans="1:19">
      <c r="A51" s="7"/>
      <c r="B51" s="7"/>
      <c r="C51" s="8"/>
      <c r="D51" s="8"/>
      <c r="E51" s="8"/>
      <c r="F51" s="8"/>
      <c r="G51" s="8"/>
      <c r="H51" s="8"/>
      <c r="I51" s="8"/>
      <c r="J51" s="7"/>
      <c r="K51" s="10" t="s">
        <v>547</v>
      </c>
      <c r="L51" s="10" t="s">
        <v>548</v>
      </c>
      <c r="M51" s="7"/>
      <c r="N51" s="7"/>
      <c r="O51" s="7"/>
      <c r="P51" s="7"/>
      <c r="Q51" s="7"/>
      <c r="R51" s="7"/>
      <c r="S51" s="7"/>
    </row>
    <row r="52" spans="1:19">
      <c r="A52" s="7" t="s">
        <v>699</v>
      </c>
      <c r="B52" s="7" t="s">
        <v>700</v>
      </c>
      <c r="C52" s="8">
        <v>132.049184</v>
      </c>
      <c r="D52" s="8">
        <v>132.049184</v>
      </c>
      <c r="E52" s="8"/>
      <c r="F52" s="8"/>
      <c r="G52" s="8"/>
      <c r="H52" s="8">
        <v>132.049184</v>
      </c>
      <c r="I52" s="8"/>
      <c r="J52" s="7"/>
      <c r="K52" s="7" t="s">
        <v>503</v>
      </c>
      <c r="L52" s="7" t="s">
        <v>504</v>
      </c>
      <c r="M52" s="7"/>
      <c r="N52" s="7"/>
      <c r="O52" s="7"/>
      <c r="P52" s="7"/>
      <c r="Q52" s="7"/>
      <c r="R52" s="7"/>
      <c r="S52" s="7"/>
    </row>
    <row r="53" spans="1:19">
      <c r="A53" s="7"/>
      <c r="B53" s="7"/>
      <c r="C53" s="8"/>
      <c r="D53" s="8"/>
      <c r="E53" s="8"/>
      <c r="F53" s="8"/>
      <c r="G53" s="8"/>
      <c r="H53" s="8"/>
      <c r="I53" s="8"/>
      <c r="J53" s="7"/>
      <c r="K53" s="7"/>
      <c r="L53" s="7" t="s">
        <v>511</v>
      </c>
      <c r="M53" s="7"/>
      <c r="N53" s="7"/>
      <c r="O53" s="7"/>
      <c r="P53" s="7"/>
      <c r="Q53" s="7"/>
      <c r="R53" s="7"/>
      <c r="S53" s="7"/>
    </row>
    <row r="54" ht="18" spans="1:19">
      <c r="A54" s="7"/>
      <c r="B54" s="7"/>
      <c r="C54" s="8"/>
      <c r="D54" s="8"/>
      <c r="E54" s="8"/>
      <c r="F54" s="8"/>
      <c r="G54" s="8"/>
      <c r="H54" s="8"/>
      <c r="I54" s="8"/>
      <c r="J54" s="7"/>
      <c r="K54" s="7"/>
      <c r="L54" s="7" t="s">
        <v>512</v>
      </c>
      <c r="M54" s="7"/>
      <c r="N54" s="7"/>
      <c r="O54" s="7"/>
      <c r="P54" s="7"/>
      <c r="Q54" s="7"/>
      <c r="R54" s="7"/>
      <c r="S54" s="7"/>
    </row>
    <row r="55" spans="1:19">
      <c r="A55" s="7"/>
      <c r="B55" s="7"/>
      <c r="C55" s="8"/>
      <c r="D55" s="8"/>
      <c r="E55" s="8"/>
      <c r="F55" s="8"/>
      <c r="G55" s="8"/>
      <c r="H55" s="8"/>
      <c r="I55" s="8"/>
      <c r="J55" s="7"/>
      <c r="K55" s="10" t="s">
        <v>513</v>
      </c>
      <c r="L55" s="10" t="s">
        <v>514</v>
      </c>
      <c r="M55" s="7"/>
      <c r="N55" s="7"/>
      <c r="O55" s="7"/>
      <c r="P55" s="7"/>
      <c r="Q55" s="7"/>
      <c r="R55" s="7"/>
      <c r="S55" s="7"/>
    </row>
    <row r="56" spans="1:19">
      <c r="A56" s="7"/>
      <c r="B56" s="7"/>
      <c r="C56" s="8"/>
      <c r="D56" s="8"/>
      <c r="E56" s="8"/>
      <c r="F56" s="8"/>
      <c r="G56" s="8"/>
      <c r="H56" s="8"/>
      <c r="I56" s="8"/>
      <c r="J56" s="7"/>
      <c r="K56" s="10"/>
      <c r="L56" s="10" t="s">
        <v>521</v>
      </c>
      <c r="M56" s="7"/>
      <c r="N56" s="7"/>
      <c r="O56" s="7"/>
      <c r="P56" s="7"/>
      <c r="Q56" s="7"/>
      <c r="R56" s="7"/>
      <c r="S56" s="7"/>
    </row>
    <row r="57" spans="1:19">
      <c r="A57" s="7"/>
      <c r="B57" s="7"/>
      <c r="C57" s="8"/>
      <c r="D57" s="8"/>
      <c r="E57" s="8"/>
      <c r="F57" s="8"/>
      <c r="G57" s="8"/>
      <c r="H57" s="8"/>
      <c r="I57" s="8"/>
      <c r="J57" s="7"/>
      <c r="K57" s="10"/>
      <c r="L57" s="10" t="s">
        <v>528</v>
      </c>
      <c r="M57" s="7"/>
      <c r="N57" s="7"/>
      <c r="O57" s="7"/>
      <c r="P57" s="7"/>
      <c r="Q57" s="7"/>
      <c r="R57" s="7"/>
      <c r="S57" s="7"/>
    </row>
    <row r="58" spans="1:19">
      <c r="A58" s="7"/>
      <c r="B58" s="7"/>
      <c r="C58" s="8"/>
      <c r="D58" s="8"/>
      <c r="E58" s="8"/>
      <c r="F58" s="8"/>
      <c r="G58" s="8"/>
      <c r="H58" s="8"/>
      <c r="I58" s="8"/>
      <c r="J58" s="7"/>
      <c r="K58" s="10" t="s">
        <v>535</v>
      </c>
      <c r="L58" s="10" t="s">
        <v>536</v>
      </c>
      <c r="M58" s="7"/>
      <c r="N58" s="7"/>
      <c r="O58" s="7"/>
      <c r="P58" s="7"/>
      <c r="Q58" s="7"/>
      <c r="R58" s="7"/>
      <c r="S58" s="7"/>
    </row>
    <row r="59" spans="1:19">
      <c r="A59" s="7"/>
      <c r="B59" s="7"/>
      <c r="C59" s="8"/>
      <c r="D59" s="8"/>
      <c r="E59" s="8"/>
      <c r="F59" s="8"/>
      <c r="G59" s="8"/>
      <c r="H59" s="8"/>
      <c r="I59" s="8"/>
      <c r="J59" s="7"/>
      <c r="K59" s="10"/>
      <c r="L59" s="10" t="s">
        <v>537</v>
      </c>
      <c r="M59" s="7"/>
      <c r="N59" s="7"/>
      <c r="O59" s="7"/>
      <c r="P59" s="7"/>
      <c r="Q59" s="7"/>
      <c r="R59" s="7"/>
      <c r="S59" s="7"/>
    </row>
    <row r="60" spans="1:19">
      <c r="A60" s="7"/>
      <c r="B60" s="7"/>
      <c r="C60" s="8"/>
      <c r="D60" s="8"/>
      <c r="E60" s="8"/>
      <c r="F60" s="8"/>
      <c r="G60" s="8"/>
      <c r="H60" s="8"/>
      <c r="I60" s="8"/>
      <c r="J60" s="7"/>
      <c r="K60" s="10"/>
      <c r="L60" s="10" t="s">
        <v>542</v>
      </c>
      <c r="M60" s="7"/>
      <c r="N60" s="7"/>
      <c r="O60" s="7"/>
      <c r="P60" s="7"/>
      <c r="Q60" s="7"/>
      <c r="R60" s="7"/>
      <c r="S60" s="7"/>
    </row>
    <row r="61" ht="18" spans="1:19">
      <c r="A61" s="7"/>
      <c r="B61" s="7"/>
      <c r="C61" s="8"/>
      <c r="D61" s="8"/>
      <c r="E61" s="8"/>
      <c r="F61" s="8"/>
      <c r="G61" s="8"/>
      <c r="H61" s="8"/>
      <c r="I61" s="8"/>
      <c r="J61" s="7"/>
      <c r="K61" s="10"/>
      <c r="L61" s="10" t="s">
        <v>546</v>
      </c>
      <c r="M61" s="7"/>
      <c r="N61" s="7"/>
      <c r="O61" s="7"/>
      <c r="P61" s="7"/>
      <c r="Q61" s="7"/>
      <c r="R61" s="7"/>
      <c r="S61" s="7"/>
    </row>
    <row r="62" ht="18" spans="1:19">
      <c r="A62" s="7"/>
      <c r="B62" s="7"/>
      <c r="C62" s="8"/>
      <c r="D62" s="8"/>
      <c r="E62" s="8"/>
      <c r="F62" s="8"/>
      <c r="G62" s="8"/>
      <c r="H62" s="8"/>
      <c r="I62" s="8"/>
      <c r="J62" s="7"/>
      <c r="K62" s="10" t="s">
        <v>547</v>
      </c>
      <c r="L62" s="10" t="s">
        <v>548</v>
      </c>
      <c r="M62" s="7"/>
      <c r="N62" s="7"/>
      <c r="O62" s="7"/>
      <c r="P62" s="7"/>
      <c r="Q62" s="7"/>
      <c r="R62" s="7"/>
      <c r="S62" s="7"/>
    </row>
    <row r="63" spans="1:19">
      <c r="A63" s="7" t="s">
        <v>701</v>
      </c>
      <c r="B63" s="7" t="s">
        <v>702</v>
      </c>
      <c r="C63" s="8">
        <v>159.82493</v>
      </c>
      <c r="D63" s="8">
        <v>159.82493</v>
      </c>
      <c r="E63" s="8"/>
      <c r="F63" s="8"/>
      <c r="G63" s="8"/>
      <c r="H63" s="8">
        <v>135.32493</v>
      </c>
      <c r="I63" s="8">
        <v>24.5</v>
      </c>
      <c r="J63" s="7" t="s">
        <v>703</v>
      </c>
      <c r="K63" s="7" t="s">
        <v>503</v>
      </c>
      <c r="L63" s="7" t="s">
        <v>504</v>
      </c>
      <c r="M63" s="7" t="s">
        <v>704</v>
      </c>
      <c r="N63" s="7" t="s">
        <v>510</v>
      </c>
      <c r="O63" s="7" t="s">
        <v>705</v>
      </c>
      <c r="P63" s="7" t="s">
        <v>706</v>
      </c>
      <c r="Q63" s="7"/>
      <c r="R63" s="7"/>
      <c r="S63" s="7"/>
    </row>
    <row r="64" spans="1:19">
      <c r="A64" s="7"/>
      <c r="B64" s="7"/>
      <c r="C64" s="8"/>
      <c r="D64" s="8"/>
      <c r="E64" s="8"/>
      <c r="F64" s="8"/>
      <c r="G64" s="8"/>
      <c r="H64" s="8"/>
      <c r="I64" s="8"/>
      <c r="J64" s="7"/>
      <c r="K64" s="7"/>
      <c r="L64" s="7" t="s">
        <v>511</v>
      </c>
      <c r="M64" s="7"/>
      <c r="N64" s="7"/>
      <c r="O64" s="7"/>
      <c r="P64" s="7"/>
      <c r="Q64" s="7"/>
      <c r="R64" s="7"/>
      <c r="S64" s="7"/>
    </row>
    <row r="65" ht="18" spans="1:19">
      <c r="A65" s="7"/>
      <c r="B65" s="7"/>
      <c r="C65" s="8"/>
      <c r="D65" s="8"/>
      <c r="E65" s="8"/>
      <c r="F65" s="8"/>
      <c r="G65" s="8"/>
      <c r="H65" s="8"/>
      <c r="I65" s="8"/>
      <c r="J65" s="7"/>
      <c r="K65" s="7"/>
      <c r="L65" s="7" t="s">
        <v>512</v>
      </c>
      <c r="M65" s="7"/>
      <c r="N65" s="7"/>
      <c r="O65" s="7"/>
      <c r="P65" s="7"/>
      <c r="Q65" s="7"/>
      <c r="R65" s="7"/>
      <c r="S65" s="7"/>
    </row>
    <row r="66" spans="1:19">
      <c r="A66" s="7"/>
      <c r="B66" s="7"/>
      <c r="C66" s="8"/>
      <c r="D66" s="8"/>
      <c r="E66" s="8"/>
      <c r="F66" s="8"/>
      <c r="G66" s="8"/>
      <c r="H66" s="8"/>
      <c r="I66" s="8"/>
      <c r="J66" s="7"/>
      <c r="K66" s="10" t="s">
        <v>513</v>
      </c>
      <c r="L66" s="10" t="s">
        <v>514</v>
      </c>
      <c r="M66" s="7" t="s">
        <v>707</v>
      </c>
      <c r="N66" s="7" t="s">
        <v>527</v>
      </c>
      <c r="O66" s="7" t="s">
        <v>564</v>
      </c>
      <c r="P66" s="7" t="s">
        <v>526</v>
      </c>
      <c r="Q66" s="7"/>
      <c r="R66" s="7"/>
      <c r="S66" s="7"/>
    </row>
    <row r="67" ht="18" spans="1:19">
      <c r="A67" s="7"/>
      <c r="B67" s="7"/>
      <c r="C67" s="8"/>
      <c r="D67" s="8"/>
      <c r="E67" s="8"/>
      <c r="F67" s="8"/>
      <c r="G67" s="8"/>
      <c r="H67" s="8"/>
      <c r="I67" s="8"/>
      <c r="J67" s="7"/>
      <c r="K67" s="10"/>
      <c r="L67" s="10" t="s">
        <v>521</v>
      </c>
      <c r="M67" s="7" t="s">
        <v>708</v>
      </c>
      <c r="N67" s="7" t="s">
        <v>527</v>
      </c>
      <c r="O67" s="7" t="s">
        <v>564</v>
      </c>
      <c r="P67" s="7" t="s">
        <v>526</v>
      </c>
      <c r="Q67" s="7"/>
      <c r="R67" s="7"/>
      <c r="S67" s="7"/>
    </row>
    <row r="68" ht="18" spans="1:19">
      <c r="A68" s="7"/>
      <c r="B68" s="7"/>
      <c r="C68" s="8"/>
      <c r="D68" s="8"/>
      <c r="E68" s="8"/>
      <c r="F68" s="8"/>
      <c r="G68" s="8"/>
      <c r="H68" s="8"/>
      <c r="I68" s="8"/>
      <c r="J68" s="7"/>
      <c r="K68" s="10"/>
      <c r="L68" s="10"/>
      <c r="M68" s="7" t="s">
        <v>709</v>
      </c>
      <c r="N68" s="7" t="s">
        <v>629</v>
      </c>
      <c r="O68" s="7" t="s">
        <v>583</v>
      </c>
      <c r="P68" s="7" t="s">
        <v>526</v>
      </c>
      <c r="Q68" s="7"/>
      <c r="R68" s="7"/>
      <c r="S68" s="7"/>
    </row>
    <row r="69" ht="18" spans="1:19">
      <c r="A69" s="7"/>
      <c r="B69" s="7"/>
      <c r="C69" s="8"/>
      <c r="D69" s="8"/>
      <c r="E69" s="8"/>
      <c r="F69" s="8"/>
      <c r="G69" s="8"/>
      <c r="H69" s="8"/>
      <c r="I69" s="8"/>
      <c r="J69" s="7"/>
      <c r="K69" s="10"/>
      <c r="L69" s="10"/>
      <c r="M69" s="7" t="s">
        <v>710</v>
      </c>
      <c r="N69" s="7" t="s">
        <v>527</v>
      </c>
      <c r="O69" s="7" t="s">
        <v>711</v>
      </c>
      <c r="P69" s="7" t="s">
        <v>526</v>
      </c>
      <c r="Q69" s="7"/>
      <c r="R69" s="7"/>
      <c r="S69" s="7"/>
    </row>
    <row r="70" ht="18" spans="1:19">
      <c r="A70" s="7"/>
      <c r="B70" s="7"/>
      <c r="C70" s="8"/>
      <c r="D70" s="8"/>
      <c r="E70" s="8"/>
      <c r="F70" s="8"/>
      <c r="G70" s="8"/>
      <c r="H70" s="8"/>
      <c r="I70" s="8"/>
      <c r="J70" s="7"/>
      <c r="K70" s="10"/>
      <c r="L70" s="10" t="s">
        <v>528</v>
      </c>
      <c r="M70" s="7" t="s">
        <v>712</v>
      </c>
      <c r="N70" s="7" t="s">
        <v>629</v>
      </c>
      <c r="O70" s="7" t="s">
        <v>583</v>
      </c>
      <c r="P70" s="7" t="s">
        <v>526</v>
      </c>
      <c r="Q70" s="7"/>
      <c r="R70" s="7"/>
      <c r="S70" s="7"/>
    </row>
    <row r="71" spans="1:19">
      <c r="A71" s="7"/>
      <c r="B71" s="7"/>
      <c r="C71" s="8"/>
      <c r="D71" s="8"/>
      <c r="E71" s="8"/>
      <c r="F71" s="8"/>
      <c r="G71" s="8"/>
      <c r="H71" s="8"/>
      <c r="I71" s="8"/>
      <c r="J71" s="7"/>
      <c r="K71" s="10" t="s">
        <v>535</v>
      </c>
      <c r="L71" s="10" t="s">
        <v>536</v>
      </c>
      <c r="M71" s="7"/>
      <c r="N71" s="7"/>
      <c r="O71" s="7"/>
      <c r="P71" s="7"/>
      <c r="Q71" s="7"/>
      <c r="R71" s="7"/>
      <c r="S71" s="7"/>
    </row>
    <row r="72" ht="18" spans="1:19">
      <c r="A72" s="7"/>
      <c r="B72" s="7"/>
      <c r="C72" s="8"/>
      <c r="D72" s="8"/>
      <c r="E72" s="8"/>
      <c r="F72" s="8"/>
      <c r="G72" s="8"/>
      <c r="H72" s="8"/>
      <c r="I72" s="8"/>
      <c r="J72" s="7"/>
      <c r="K72" s="10"/>
      <c r="L72" s="10" t="s">
        <v>537</v>
      </c>
      <c r="M72" s="7" t="s">
        <v>713</v>
      </c>
      <c r="N72" s="7" t="s">
        <v>534</v>
      </c>
      <c r="O72" s="7" t="s">
        <v>631</v>
      </c>
      <c r="P72" s="7"/>
      <c r="Q72" s="7"/>
      <c r="R72" s="7"/>
      <c r="S72" s="7"/>
    </row>
    <row r="73" spans="1:19">
      <c r="A73" s="7"/>
      <c r="B73" s="7"/>
      <c r="C73" s="8"/>
      <c r="D73" s="8"/>
      <c r="E73" s="8"/>
      <c r="F73" s="8"/>
      <c r="G73" s="8"/>
      <c r="H73" s="8"/>
      <c r="I73" s="8"/>
      <c r="J73" s="7"/>
      <c r="K73" s="10"/>
      <c r="L73" s="10" t="s">
        <v>542</v>
      </c>
      <c r="M73" s="7"/>
      <c r="N73" s="7"/>
      <c r="O73" s="7"/>
      <c r="P73" s="7"/>
      <c r="Q73" s="7"/>
      <c r="R73" s="7"/>
      <c r="S73" s="7"/>
    </row>
    <row r="74" ht="18" spans="1:19">
      <c r="A74" s="7"/>
      <c r="B74" s="7"/>
      <c r="C74" s="8"/>
      <c r="D74" s="8"/>
      <c r="E74" s="8"/>
      <c r="F74" s="8"/>
      <c r="G74" s="8"/>
      <c r="H74" s="8"/>
      <c r="I74" s="8"/>
      <c r="J74" s="7"/>
      <c r="K74" s="10"/>
      <c r="L74" s="10" t="s">
        <v>546</v>
      </c>
      <c r="M74" s="7"/>
      <c r="N74" s="7"/>
      <c r="O74" s="7"/>
      <c r="P74" s="7"/>
      <c r="Q74" s="7"/>
      <c r="R74" s="7"/>
      <c r="S74" s="7"/>
    </row>
    <row r="75" ht="18" spans="1:19">
      <c r="A75" s="7"/>
      <c r="B75" s="7"/>
      <c r="C75" s="8"/>
      <c r="D75" s="8"/>
      <c r="E75" s="8"/>
      <c r="F75" s="8"/>
      <c r="G75" s="8"/>
      <c r="H75" s="8"/>
      <c r="I75" s="8"/>
      <c r="J75" s="7"/>
      <c r="K75" s="10" t="s">
        <v>547</v>
      </c>
      <c r="L75" s="10" t="s">
        <v>548</v>
      </c>
      <c r="M75" s="7" t="s">
        <v>714</v>
      </c>
      <c r="N75" s="7" t="s">
        <v>527</v>
      </c>
      <c r="O75" s="7" t="s">
        <v>564</v>
      </c>
      <c r="P75" s="7" t="s">
        <v>526</v>
      </c>
      <c r="Q75" s="7"/>
      <c r="R75" s="7"/>
      <c r="S75" s="7"/>
    </row>
  </sheetData>
  <mergeCells count="90">
    <mergeCell ref="A2:S2"/>
    <mergeCell ref="A3:S3"/>
    <mergeCell ref="Q4:S4"/>
    <mergeCell ref="C5:I5"/>
    <mergeCell ref="D6:G6"/>
    <mergeCell ref="H6:I6"/>
    <mergeCell ref="A5:A7"/>
    <mergeCell ref="A8:A18"/>
    <mergeCell ref="A19:A29"/>
    <mergeCell ref="A30:A40"/>
    <mergeCell ref="A41:A51"/>
    <mergeCell ref="A52:A62"/>
    <mergeCell ref="A63:A75"/>
    <mergeCell ref="B5:B7"/>
    <mergeCell ref="B8:B18"/>
    <mergeCell ref="B19:B29"/>
    <mergeCell ref="B30:B40"/>
    <mergeCell ref="B41:B51"/>
    <mergeCell ref="B52:B62"/>
    <mergeCell ref="B63:B75"/>
    <mergeCell ref="C6:C7"/>
    <mergeCell ref="C8:C18"/>
    <mergeCell ref="C19:C29"/>
    <mergeCell ref="C30:C40"/>
    <mergeCell ref="C41:C51"/>
    <mergeCell ref="C52:C62"/>
    <mergeCell ref="C63:C75"/>
    <mergeCell ref="D8:D18"/>
    <mergeCell ref="D19:D29"/>
    <mergeCell ref="D30:D40"/>
    <mergeCell ref="D41:D51"/>
    <mergeCell ref="D52:D62"/>
    <mergeCell ref="D63:D75"/>
    <mergeCell ref="E8:E18"/>
    <mergeCell ref="E19:E29"/>
    <mergeCell ref="E30:E40"/>
    <mergeCell ref="E41:E51"/>
    <mergeCell ref="E52:E62"/>
    <mergeCell ref="E63:E75"/>
    <mergeCell ref="F8:F18"/>
    <mergeCell ref="F19:F29"/>
    <mergeCell ref="F30:F40"/>
    <mergeCell ref="F41:F51"/>
    <mergeCell ref="F52:F62"/>
    <mergeCell ref="F63:F75"/>
    <mergeCell ref="G8:G18"/>
    <mergeCell ref="G19:G29"/>
    <mergeCell ref="G30:G40"/>
    <mergeCell ref="G41:G51"/>
    <mergeCell ref="G52:G62"/>
    <mergeCell ref="G63:G75"/>
    <mergeCell ref="H8:H18"/>
    <mergeCell ref="H19:H29"/>
    <mergeCell ref="H30:H40"/>
    <mergeCell ref="H41:H51"/>
    <mergeCell ref="H52:H62"/>
    <mergeCell ref="H63:H75"/>
    <mergeCell ref="I8:I18"/>
    <mergeCell ref="I19:I29"/>
    <mergeCell ref="I30:I40"/>
    <mergeCell ref="I41:I51"/>
    <mergeCell ref="I52:I62"/>
    <mergeCell ref="I63:I75"/>
    <mergeCell ref="J5:J7"/>
    <mergeCell ref="J8:J18"/>
    <mergeCell ref="J19:J29"/>
    <mergeCell ref="J30:J40"/>
    <mergeCell ref="J41:J51"/>
    <mergeCell ref="J52:J62"/>
    <mergeCell ref="J63:J75"/>
    <mergeCell ref="K8:K10"/>
    <mergeCell ref="K11:K13"/>
    <mergeCell ref="K14:K17"/>
    <mergeCell ref="K19:K21"/>
    <mergeCell ref="K22:K24"/>
    <mergeCell ref="K25:K28"/>
    <mergeCell ref="K30:K32"/>
    <mergeCell ref="K33:K35"/>
    <mergeCell ref="K36:K39"/>
    <mergeCell ref="K41:K43"/>
    <mergeCell ref="K44:K46"/>
    <mergeCell ref="K47:K50"/>
    <mergeCell ref="K52:K54"/>
    <mergeCell ref="K55:K57"/>
    <mergeCell ref="K58:K61"/>
    <mergeCell ref="K63:K65"/>
    <mergeCell ref="K66:K70"/>
    <mergeCell ref="K71:K74"/>
    <mergeCell ref="L67:L69"/>
    <mergeCell ref="K5:S6"/>
  </mergeCells>
  <printOptions horizontalCentered="1"/>
  <pageMargins left="0.0780000016093254" right="0.0780000016093254" top="0.0780000016093254" bottom="0.0780000016093254" header="0" footer="0"/>
  <pageSetup paperSize="9" scale="66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zoomScale="130" zoomScaleNormal="130" topLeftCell="A11" workbookViewId="0">
      <selection activeCell="D23" sqref="D23"/>
    </sheetView>
  </sheetViews>
  <sheetFormatPr defaultColWidth="9.775" defaultRowHeight="14.25" outlineLevelCol="7"/>
  <cols>
    <col min="1" max="1" width="29.4416666666667" customWidth="1"/>
    <col min="2" max="2" width="10.2166666666667" customWidth="1"/>
    <col min="3" max="3" width="23.1083333333333" customWidth="1"/>
    <col min="4" max="4" width="10.5583333333333" customWidth="1"/>
    <col min="5" max="5" width="24" customWidth="1"/>
    <col min="6" max="6" width="10.4416666666667" customWidth="1"/>
    <col min="7" max="7" width="20.2166666666667" customWidth="1"/>
    <col min="8" max="8" width="11" customWidth="1"/>
  </cols>
  <sheetData>
    <row r="1" ht="12.9" customHeight="1" spans="1:8">
      <c r="A1" s="1"/>
      <c r="H1" s="19" t="s">
        <v>30</v>
      </c>
    </row>
    <row r="2" ht="24.15" customHeight="1" spans="1:8">
      <c r="A2" s="99" t="s">
        <v>7</v>
      </c>
      <c r="B2" s="99"/>
      <c r="C2" s="99"/>
      <c r="D2" s="99"/>
      <c r="E2" s="99"/>
      <c r="F2" s="99"/>
      <c r="G2" s="99"/>
      <c r="H2" s="99"/>
    </row>
    <row r="3" ht="17.25" customHeight="1" spans="1:8">
      <c r="A3" s="100" t="s">
        <v>31</v>
      </c>
      <c r="B3" s="100"/>
      <c r="C3" s="100"/>
      <c r="D3" s="100"/>
      <c r="E3" s="100"/>
      <c r="F3" s="100"/>
      <c r="G3" s="101" t="s">
        <v>32</v>
      </c>
      <c r="H3" s="101"/>
    </row>
    <row r="4" ht="17.85" customHeight="1" spans="1:8">
      <c r="A4" s="32" t="s">
        <v>33</v>
      </c>
      <c r="B4" s="32"/>
      <c r="C4" s="32" t="s">
        <v>34</v>
      </c>
      <c r="D4" s="32"/>
      <c r="E4" s="32"/>
      <c r="F4" s="32"/>
      <c r="G4" s="32"/>
      <c r="H4" s="32"/>
    </row>
    <row r="5" ht="22.35" customHeight="1" spans="1:8">
      <c r="A5" s="32" t="s">
        <v>35</v>
      </c>
      <c r="B5" s="32" t="s">
        <v>36</v>
      </c>
      <c r="C5" s="32" t="s">
        <v>37</v>
      </c>
      <c r="D5" s="32" t="s">
        <v>36</v>
      </c>
      <c r="E5" s="32" t="s">
        <v>38</v>
      </c>
      <c r="F5" s="32" t="s">
        <v>36</v>
      </c>
      <c r="G5" s="32" t="s">
        <v>39</v>
      </c>
      <c r="H5" s="32" t="s">
        <v>36</v>
      </c>
    </row>
    <row r="6" ht="16.2" customHeight="1" spans="1:8">
      <c r="A6" s="59" t="s">
        <v>40</v>
      </c>
      <c r="B6" s="34">
        <f>B7</f>
        <v>995.55</v>
      </c>
      <c r="C6" s="60" t="s">
        <v>41</v>
      </c>
      <c r="D6" s="35">
        <f>22.61</f>
        <v>22.61</v>
      </c>
      <c r="E6" s="59" t="s">
        <v>42</v>
      </c>
      <c r="F6" s="33">
        <f>F7+F8+F9</f>
        <v>763.05</v>
      </c>
      <c r="G6" s="60" t="s">
        <v>43</v>
      </c>
      <c r="H6" s="34">
        <f>116.91+137.65+59.04</f>
        <v>313.6</v>
      </c>
    </row>
    <row r="7" ht="16.2" customHeight="1" spans="1:8">
      <c r="A7" s="60" t="s">
        <v>44</v>
      </c>
      <c r="B7" s="34">
        <f>338.11+152.05+68.34+132.05+145.18+159.82</f>
        <v>995.55</v>
      </c>
      <c r="C7" s="60" t="s">
        <v>45</v>
      </c>
      <c r="D7" s="35"/>
      <c r="E7" s="60" t="s">
        <v>46</v>
      </c>
      <c r="F7" s="34">
        <f>116.91+137.65+59.04+123.78+111.95+128.3</f>
        <v>677.63</v>
      </c>
      <c r="G7" s="60" t="s">
        <v>47</v>
      </c>
      <c r="H7" s="34">
        <f>221.2</f>
        <v>221.2</v>
      </c>
    </row>
    <row r="8" ht="16.2" customHeight="1" spans="1:8">
      <c r="A8" s="59" t="s">
        <v>48</v>
      </c>
      <c r="B8" s="34"/>
      <c r="C8" s="60" t="s">
        <v>49</v>
      </c>
      <c r="D8" s="35"/>
      <c r="E8" s="60" t="s">
        <v>50</v>
      </c>
      <c r="F8" s="34">
        <f>20.2+14.4+9.3+14.4+20.1+7.02</f>
        <v>85.42</v>
      </c>
      <c r="G8" s="60" t="s">
        <v>51</v>
      </c>
      <c r="H8" s="34"/>
    </row>
    <row r="9" ht="16.2" customHeight="1" spans="1:8">
      <c r="A9" s="60" t="s">
        <v>52</v>
      </c>
      <c r="B9" s="34"/>
      <c r="C9" s="60" t="s">
        <v>53</v>
      </c>
      <c r="D9" s="35"/>
      <c r="E9" s="60" t="s">
        <v>54</v>
      </c>
      <c r="F9" s="34"/>
      <c r="G9" s="60" t="s">
        <v>55</v>
      </c>
      <c r="H9" s="34"/>
    </row>
    <row r="10" ht="16.2" customHeight="1" spans="1:8">
      <c r="A10" s="60" t="s">
        <v>56</v>
      </c>
      <c r="B10" s="34"/>
      <c r="C10" s="60" t="s">
        <v>57</v>
      </c>
      <c r="D10" s="35"/>
      <c r="E10" s="59" t="s">
        <v>58</v>
      </c>
      <c r="F10" s="33">
        <f>SUM(F11:F20)</f>
        <v>232.5</v>
      </c>
      <c r="G10" s="60" t="s">
        <v>59</v>
      </c>
      <c r="H10" s="34">
        <f>14.4+9.3+145.18+132.05+135.32</f>
        <v>436.25</v>
      </c>
    </row>
    <row r="11" ht="16.2" customHeight="1" spans="1:8">
      <c r="A11" s="60" t="s">
        <v>60</v>
      </c>
      <c r="B11" s="34"/>
      <c r="C11" s="60" t="s">
        <v>61</v>
      </c>
      <c r="D11" s="35"/>
      <c r="E11" s="60" t="s">
        <v>62</v>
      </c>
      <c r="F11" s="34"/>
      <c r="G11" s="60" t="s">
        <v>63</v>
      </c>
      <c r="H11" s="34"/>
    </row>
    <row r="12" ht="16.2" customHeight="1" spans="1:8">
      <c r="A12" s="60" t="s">
        <v>64</v>
      </c>
      <c r="B12" s="34"/>
      <c r="C12" s="60" t="s">
        <v>65</v>
      </c>
      <c r="D12" s="35"/>
      <c r="E12" s="60" t="s">
        <v>66</v>
      </c>
      <c r="F12" s="34">
        <f>201+7</f>
        <v>208</v>
      </c>
      <c r="G12" s="60" t="s">
        <v>67</v>
      </c>
      <c r="H12" s="34"/>
    </row>
    <row r="13" ht="16.2" customHeight="1" spans="1:8">
      <c r="A13" s="60" t="s">
        <v>68</v>
      </c>
      <c r="B13" s="34"/>
      <c r="C13" s="60" t="s">
        <v>69</v>
      </c>
      <c r="D13" s="35">
        <f>12.44+14.68+6.31+12.26+11.86+77.02</f>
        <v>134.57</v>
      </c>
      <c r="E13" s="60" t="s">
        <v>70</v>
      </c>
      <c r="F13" s="34"/>
      <c r="G13" s="60" t="s">
        <v>71</v>
      </c>
      <c r="H13" s="34"/>
    </row>
    <row r="14" ht="16.2" customHeight="1" spans="1:8">
      <c r="A14" s="60" t="s">
        <v>72</v>
      </c>
      <c r="B14" s="34"/>
      <c r="C14" s="60" t="s">
        <v>73</v>
      </c>
      <c r="D14" s="35"/>
      <c r="E14" s="60" t="s">
        <v>74</v>
      </c>
      <c r="F14" s="34"/>
      <c r="G14" s="60" t="s">
        <v>75</v>
      </c>
      <c r="H14" s="34"/>
    </row>
    <row r="15" ht="16.2" customHeight="1" spans="1:8">
      <c r="A15" s="60" t="s">
        <v>76</v>
      </c>
      <c r="B15" s="34"/>
      <c r="C15" s="60" t="s">
        <v>77</v>
      </c>
      <c r="D15" s="35">
        <f>6.95+8.2+3.52+6.63+6.84</f>
        <v>32.14</v>
      </c>
      <c r="E15" s="60" t="s">
        <v>78</v>
      </c>
      <c r="F15" s="34"/>
      <c r="G15" s="60" t="s">
        <v>79</v>
      </c>
      <c r="H15" s="34"/>
    </row>
    <row r="16" ht="16.2" customHeight="1" spans="1:8">
      <c r="A16" s="60" t="s">
        <v>80</v>
      </c>
      <c r="B16" s="34"/>
      <c r="C16" s="60" t="s">
        <v>81</v>
      </c>
      <c r="D16" s="35"/>
      <c r="E16" s="60" t="s">
        <v>82</v>
      </c>
      <c r="F16" s="34"/>
      <c r="G16" s="60" t="s">
        <v>83</v>
      </c>
      <c r="H16" s="34"/>
    </row>
    <row r="17" ht="16.2" customHeight="1" spans="1:8">
      <c r="A17" s="60" t="s">
        <v>84</v>
      </c>
      <c r="B17" s="34"/>
      <c r="C17" s="60" t="s">
        <v>85</v>
      </c>
      <c r="D17" s="35"/>
      <c r="E17" s="60" t="s">
        <v>86</v>
      </c>
      <c r="F17" s="34"/>
      <c r="G17" s="60" t="s">
        <v>87</v>
      </c>
      <c r="H17" s="34"/>
    </row>
    <row r="18" ht="16.2" customHeight="1" spans="1:8">
      <c r="A18" s="60" t="s">
        <v>88</v>
      </c>
      <c r="B18" s="34"/>
      <c r="C18" s="60" t="s">
        <v>89</v>
      </c>
      <c r="D18" s="35">
        <f>309.93+118.8+54.05+124.27+105.19+44.72</f>
        <v>756.96</v>
      </c>
      <c r="E18" s="60" t="s">
        <v>90</v>
      </c>
      <c r="F18" s="34"/>
      <c r="G18" s="60" t="s">
        <v>91</v>
      </c>
      <c r="H18" s="34"/>
    </row>
    <row r="19" ht="16.2" customHeight="1" spans="1:8">
      <c r="A19" s="60" t="s">
        <v>92</v>
      </c>
      <c r="B19" s="34"/>
      <c r="C19" s="60" t="s">
        <v>93</v>
      </c>
      <c r="D19" s="35"/>
      <c r="E19" s="60" t="s">
        <v>94</v>
      </c>
      <c r="F19" s="34"/>
      <c r="G19" s="60" t="s">
        <v>95</v>
      </c>
      <c r="H19" s="34">
        <f>24.5</f>
        <v>24.5</v>
      </c>
    </row>
    <row r="20" ht="16.2" customHeight="1" spans="1:8">
      <c r="A20" s="59" t="s">
        <v>96</v>
      </c>
      <c r="B20" s="33"/>
      <c r="C20" s="60" t="s">
        <v>97</v>
      </c>
      <c r="D20" s="35"/>
      <c r="E20" s="60" t="s">
        <v>98</v>
      </c>
      <c r="F20" s="34">
        <f>24.5</f>
        <v>24.5</v>
      </c>
      <c r="G20" s="60"/>
      <c r="H20" s="34"/>
    </row>
    <row r="21" ht="16.2" customHeight="1" spans="1:8">
      <c r="A21" s="59" t="s">
        <v>99</v>
      </c>
      <c r="B21" s="33"/>
      <c r="C21" s="60" t="s">
        <v>100</v>
      </c>
      <c r="D21" s="35"/>
      <c r="E21" s="59" t="s">
        <v>101</v>
      </c>
      <c r="F21" s="33"/>
      <c r="G21" s="60"/>
      <c r="H21" s="34"/>
    </row>
    <row r="22" ht="16.2" customHeight="1" spans="1:8">
      <c r="A22" s="59" t="s">
        <v>102</v>
      </c>
      <c r="B22" s="33"/>
      <c r="C22" s="60" t="s">
        <v>103</v>
      </c>
      <c r="D22" s="35"/>
      <c r="E22" s="60"/>
      <c r="F22" s="60"/>
      <c r="G22" s="60"/>
      <c r="H22" s="34"/>
    </row>
    <row r="23" ht="16.2" customHeight="1" spans="1:8">
      <c r="A23" s="59" t="s">
        <v>104</v>
      </c>
      <c r="B23" s="33"/>
      <c r="C23" s="60" t="s">
        <v>105</v>
      </c>
      <c r="D23" s="35"/>
      <c r="E23" s="60"/>
      <c r="F23" s="60"/>
      <c r="G23" s="60"/>
      <c r="H23" s="34"/>
    </row>
    <row r="24" ht="16.2" customHeight="1" spans="1:8">
      <c r="A24" s="59" t="s">
        <v>106</v>
      </c>
      <c r="B24" s="33"/>
      <c r="C24" s="60" t="s">
        <v>107</v>
      </c>
      <c r="D24" s="35"/>
      <c r="E24" s="60"/>
      <c r="F24" s="60"/>
      <c r="G24" s="60"/>
      <c r="H24" s="34"/>
    </row>
    <row r="25" ht="16.2" customHeight="1" spans="1:8">
      <c r="A25" s="60" t="s">
        <v>108</v>
      </c>
      <c r="B25" s="34"/>
      <c r="C25" s="60" t="s">
        <v>109</v>
      </c>
      <c r="D25" s="35">
        <f>8.78+10.36+4.45+0.03+8.65+8.37+8.63</f>
        <v>49.27</v>
      </c>
      <c r="E25" s="60"/>
      <c r="F25" s="60"/>
      <c r="G25" s="60"/>
      <c r="H25" s="34"/>
    </row>
    <row r="26" ht="16.2" customHeight="1" spans="1:8">
      <c r="A26" s="60" t="s">
        <v>110</v>
      </c>
      <c r="B26" s="34"/>
      <c r="C26" s="60" t="s">
        <v>111</v>
      </c>
      <c r="D26" s="35"/>
      <c r="E26" s="60"/>
      <c r="F26" s="60"/>
      <c r="G26" s="60"/>
      <c r="H26" s="34"/>
    </row>
    <row r="27" ht="16.2" customHeight="1" spans="1:8">
      <c r="A27" s="60" t="s">
        <v>112</v>
      </c>
      <c r="B27" s="34"/>
      <c r="C27" s="60" t="s">
        <v>113</v>
      </c>
      <c r="D27" s="35"/>
      <c r="E27" s="60"/>
      <c r="F27" s="60"/>
      <c r="G27" s="60"/>
      <c r="H27" s="34"/>
    </row>
    <row r="28" ht="16.2" customHeight="1" spans="1:8">
      <c r="A28" s="59" t="s">
        <v>114</v>
      </c>
      <c r="B28" s="33"/>
      <c r="C28" s="60" t="s">
        <v>115</v>
      </c>
      <c r="D28" s="35"/>
      <c r="E28" s="60"/>
      <c r="F28" s="60"/>
      <c r="G28" s="60"/>
      <c r="H28" s="34"/>
    </row>
    <row r="29" ht="16.2" customHeight="1" spans="1:8">
      <c r="A29" s="59" t="s">
        <v>116</v>
      </c>
      <c r="B29" s="33"/>
      <c r="C29" s="60" t="s">
        <v>117</v>
      </c>
      <c r="D29" s="35"/>
      <c r="E29" s="60"/>
      <c r="F29" s="60"/>
      <c r="G29" s="60"/>
      <c r="H29" s="34"/>
    </row>
    <row r="30" ht="16.2" customHeight="1" spans="1:8">
      <c r="A30" s="59" t="s">
        <v>118</v>
      </c>
      <c r="B30" s="33"/>
      <c r="C30" s="60" t="s">
        <v>119</v>
      </c>
      <c r="D30" s="35"/>
      <c r="E30" s="60"/>
      <c r="F30" s="60"/>
      <c r="G30" s="60"/>
      <c r="H30" s="34"/>
    </row>
    <row r="31" ht="16.2" customHeight="1" spans="1:8">
      <c r="A31" s="59" t="s">
        <v>120</v>
      </c>
      <c r="B31" s="33"/>
      <c r="C31" s="60" t="s">
        <v>121</v>
      </c>
      <c r="D31" s="35"/>
      <c r="E31" s="60"/>
      <c r="F31" s="60"/>
      <c r="G31" s="60"/>
      <c r="H31" s="34"/>
    </row>
    <row r="32" ht="16.2" customHeight="1" spans="1:8">
      <c r="A32" s="16" t="s">
        <v>122</v>
      </c>
      <c r="B32" s="15"/>
      <c r="C32" s="5" t="s">
        <v>123</v>
      </c>
      <c r="D32" s="27"/>
      <c r="E32" s="5"/>
      <c r="F32" s="5"/>
      <c r="G32" s="5"/>
      <c r="H32" s="6"/>
    </row>
    <row r="33" ht="16.2" customHeight="1" spans="1:8">
      <c r="A33" s="5"/>
      <c r="B33" s="5"/>
      <c r="C33" s="5" t="s">
        <v>124</v>
      </c>
      <c r="D33" s="27"/>
      <c r="E33" s="5"/>
      <c r="F33" s="5"/>
      <c r="G33" s="5"/>
      <c r="H33" s="5"/>
    </row>
    <row r="34" ht="16.2" customHeight="1" spans="1:8">
      <c r="A34" s="5"/>
      <c r="B34" s="5"/>
      <c r="C34" s="5" t="s">
        <v>125</v>
      </c>
      <c r="D34" s="27"/>
      <c r="E34" s="5"/>
      <c r="F34" s="5"/>
      <c r="G34" s="5"/>
      <c r="H34" s="5"/>
    </row>
    <row r="35" ht="16.2" customHeight="1" spans="1:8">
      <c r="A35" s="5"/>
      <c r="B35" s="5"/>
      <c r="C35" s="5" t="s">
        <v>126</v>
      </c>
      <c r="D35" s="27"/>
      <c r="E35" s="5"/>
      <c r="F35" s="5"/>
      <c r="G35" s="5"/>
      <c r="H35" s="5"/>
    </row>
    <row r="36" ht="16.2" customHeight="1" spans="1:8">
      <c r="A36" s="16" t="s">
        <v>127</v>
      </c>
      <c r="B36" s="6">
        <f>SUM(B6)</f>
        <v>995.55</v>
      </c>
      <c r="C36" s="16" t="s">
        <v>128</v>
      </c>
      <c r="D36" s="15">
        <f>SUM(D6:D35)</f>
        <v>995.55</v>
      </c>
      <c r="E36" s="16" t="s">
        <v>128</v>
      </c>
      <c r="F36" s="15">
        <f>F6+F10</f>
        <v>995.55</v>
      </c>
      <c r="G36" s="16" t="s">
        <v>128</v>
      </c>
      <c r="H36" s="15">
        <f>SUM(H6:H19)</f>
        <v>995.55</v>
      </c>
    </row>
    <row r="37" ht="16.2" customHeight="1" spans="1:8">
      <c r="A37" s="16" t="s">
        <v>129</v>
      </c>
      <c r="B37" s="15"/>
      <c r="C37" s="16" t="s">
        <v>130</v>
      </c>
      <c r="D37" s="15"/>
      <c r="E37" s="16" t="s">
        <v>130</v>
      </c>
      <c r="F37" s="15"/>
      <c r="G37" s="16" t="s">
        <v>130</v>
      </c>
      <c r="H37" s="15"/>
    </row>
    <row r="38" ht="16.2" customHeight="1" spans="1:8">
      <c r="A38" s="5"/>
      <c r="B38" s="6"/>
      <c r="C38" s="5"/>
      <c r="D38" s="6"/>
      <c r="E38" s="16"/>
      <c r="F38" s="15"/>
      <c r="G38" s="16"/>
      <c r="H38" s="15"/>
    </row>
    <row r="39" ht="16.2" customHeight="1" spans="1:8">
      <c r="A39" s="16" t="s">
        <v>131</v>
      </c>
      <c r="B39" s="15">
        <f>B36</f>
        <v>995.55</v>
      </c>
      <c r="C39" s="16" t="s">
        <v>132</v>
      </c>
      <c r="D39" s="15">
        <f>D36</f>
        <v>995.55</v>
      </c>
      <c r="E39" s="16" t="s">
        <v>132</v>
      </c>
      <c r="F39" s="15">
        <f>F36</f>
        <v>995.55</v>
      </c>
      <c r="G39" s="16" t="s">
        <v>132</v>
      </c>
      <c r="H39" s="15">
        <f>H36</f>
        <v>995.55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4"/>
  <sheetViews>
    <sheetView workbookViewId="0">
      <selection activeCell="H12" sqref="H12"/>
    </sheetView>
  </sheetViews>
  <sheetFormatPr defaultColWidth="9.775" defaultRowHeight="14.25"/>
  <cols>
    <col min="1" max="1" width="5.775" customWidth="1"/>
    <col min="2" max="2" width="16.1083333333333" customWidth="1"/>
    <col min="3" max="3" width="8.21666666666667" customWidth="1"/>
    <col min="4" max="25" width="7.66666666666667" customWidth="1"/>
  </cols>
  <sheetData>
    <row r="1" ht="16.35" customHeight="1" spans="1:25">
      <c r="A1" s="1"/>
      <c r="X1" s="19" t="s">
        <v>133</v>
      </c>
      <c r="Y1" s="19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35" customHeight="1" spans="1: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 t="s">
        <v>32</v>
      </c>
      <c r="Y3" s="11"/>
    </row>
    <row r="4" ht="22.35" customHeight="1" spans="1:25">
      <c r="A4" s="22" t="s">
        <v>134</v>
      </c>
      <c r="B4" s="22" t="s">
        <v>135</v>
      </c>
      <c r="C4" s="22" t="s">
        <v>136</v>
      </c>
      <c r="D4" s="22" t="s">
        <v>137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 t="s">
        <v>129</v>
      </c>
      <c r="T4" s="22"/>
      <c r="U4" s="22"/>
      <c r="V4" s="22"/>
      <c r="W4" s="22"/>
      <c r="X4" s="22"/>
      <c r="Y4" s="22"/>
    </row>
    <row r="5" ht="22.35" customHeight="1" spans="1:25">
      <c r="A5" s="22"/>
      <c r="B5" s="22"/>
      <c r="C5" s="22"/>
      <c r="D5" s="22" t="s">
        <v>138</v>
      </c>
      <c r="E5" s="22" t="s">
        <v>139</v>
      </c>
      <c r="F5" s="22" t="s">
        <v>140</v>
      </c>
      <c r="G5" s="22" t="s">
        <v>141</v>
      </c>
      <c r="H5" s="22" t="s">
        <v>142</v>
      </c>
      <c r="I5" s="22" t="s">
        <v>143</v>
      </c>
      <c r="J5" s="22" t="s">
        <v>144</v>
      </c>
      <c r="K5" s="22"/>
      <c r="L5" s="22"/>
      <c r="M5" s="22"/>
      <c r="N5" s="22" t="s">
        <v>145</v>
      </c>
      <c r="O5" s="22" t="s">
        <v>146</v>
      </c>
      <c r="P5" s="22" t="s">
        <v>147</v>
      </c>
      <c r="Q5" s="22" t="s">
        <v>148</v>
      </c>
      <c r="R5" s="22" t="s">
        <v>149</v>
      </c>
      <c r="S5" s="22" t="s">
        <v>138</v>
      </c>
      <c r="T5" s="22" t="s">
        <v>139</v>
      </c>
      <c r="U5" s="22" t="s">
        <v>140</v>
      </c>
      <c r="V5" s="22" t="s">
        <v>141</v>
      </c>
      <c r="W5" s="22" t="s">
        <v>142</v>
      </c>
      <c r="X5" s="22" t="s">
        <v>143</v>
      </c>
      <c r="Y5" s="22" t="s">
        <v>150</v>
      </c>
    </row>
    <row r="6" ht="22.35" customHeight="1" spans="1:25">
      <c r="A6" s="22"/>
      <c r="B6" s="22"/>
      <c r="C6" s="22"/>
      <c r="D6" s="22"/>
      <c r="E6" s="22"/>
      <c r="F6" s="22"/>
      <c r="G6" s="22"/>
      <c r="H6" s="22"/>
      <c r="I6" s="22"/>
      <c r="J6" s="22" t="s">
        <v>151</v>
      </c>
      <c r="K6" s="22" t="s">
        <v>152</v>
      </c>
      <c r="L6" s="22" t="s">
        <v>153</v>
      </c>
      <c r="M6" s="22" t="s">
        <v>142</v>
      </c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ht="22.8" customHeight="1" spans="1:25">
      <c r="A7" s="16"/>
      <c r="B7" s="16" t="s">
        <v>136</v>
      </c>
      <c r="C7" s="43">
        <f>C8</f>
        <v>995.550208</v>
      </c>
      <c r="D7" s="43">
        <f>D8</f>
        <v>995.545886</v>
      </c>
      <c r="E7" s="43">
        <f>E8</f>
        <v>995.545886</v>
      </c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ht="22.8" customHeight="1" spans="1:25">
      <c r="A8" s="14" t="s">
        <v>154</v>
      </c>
      <c r="B8" s="14" t="s">
        <v>4</v>
      </c>
      <c r="C8" s="43">
        <f>SUM(C9:C14)</f>
        <v>995.550208</v>
      </c>
      <c r="D8" s="43">
        <f>SUM(D9:D14)</f>
        <v>995.545886</v>
      </c>
      <c r="E8" s="43">
        <f>SUM(E9:E14)</f>
        <v>995.545886</v>
      </c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22.8" customHeight="1" spans="1:25">
      <c r="A9" s="47" t="s">
        <v>155</v>
      </c>
      <c r="B9" s="47" t="s">
        <v>156</v>
      </c>
      <c r="C9" s="27">
        <v>338.107756</v>
      </c>
      <c r="D9" s="27">
        <v>338.107756</v>
      </c>
      <c r="E9" s="27">
        <v>338.107756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 spans="1:25">
      <c r="A10" s="49" t="s">
        <v>157</v>
      </c>
      <c r="B10" s="49" t="s">
        <v>158</v>
      </c>
      <c r="C10" s="40">
        <v>152.049292</v>
      </c>
      <c r="D10" s="40">
        <v>152.049292</v>
      </c>
      <c r="E10" s="98">
        <v>152.049292</v>
      </c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</row>
    <row r="11" s="20" customFormat="1" ht="22.9" customHeight="1" spans="1:25">
      <c r="A11" s="49" t="s">
        <v>159</v>
      </c>
      <c r="B11" s="49" t="s">
        <v>160</v>
      </c>
      <c r="C11" s="40">
        <v>68.34</v>
      </c>
      <c r="D11" s="40">
        <v>68.335678</v>
      </c>
      <c r="E11" s="8">
        <v>68.335678</v>
      </c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</row>
    <row r="12" s="20" customFormat="1" ht="19.9" customHeight="1" spans="1:25">
      <c r="A12" s="49" t="s">
        <v>161</v>
      </c>
      <c r="B12" s="49" t="s">
        <v>162</v>
      </c>
      <c r="C12" s="40">
        <v>145.179046</v>
      </c>
      <c r="D12" s="40">
        <v>145.179046</v>
      </c>
      <c r="E12" s="8">
        <v>145.179046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</row>
    <row r="13" s="20" customFormat="1" ht="19.9" customHeight="1" spans="1:25">
      <c r="A13" s="49" t="s">
        <v>163</v>
      </c>
      <c r="B13" s="49" t="s">
        <v>164</v>
      </c>
      <c r="C13" s="40">
        <v>132.049184</v>
      </c>
      <c r="D13" s="40">
        <v>132.049184</v>
      </c>
      <c r="E13" s="8">
        <v>132.049184</v>
      </c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</row>
    <row r="14" s="20" customFormat="1" ht="19.9" customHeight="1" spans="1:25">
      <c r="A14" s="49" t="s">
        <v>165</v>
      </c>
      <c r="B14" s="49" t="s">
        <v>166</v>
      </c>
      <c r="C14" s="40">
        <v>159.82493</v>
      </c>
      <c r="D14" s="40">
        <v>159.82493</v>
      </c>
      <c r="E14" s="8">
        <v>159.82493</v>
      </c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workbookViewId="0">
      <pane ySplit="6" topLeftCell="A20" activePane="bottomLeft" state="frozen"/>
      <selection/>
      <selection pane="bottomLeft" activeCell="E8" sqref="E8:H35"/>
    </sheetView>
  </sheetViews>
  <sheetFormatPr defaultColWidth="9.775" defaultRowHeight="14.25"/>
  <cols>
    <col min="1" max="1" width="4.66666666666667" customWidth="1"/>
    <col min="2" max="2" width="4.88333333333333" customWidth="1"/>
    <col min="3" max="3" width="5" customWidth="1"/>
    <col min="4" max="4" width="16" customWidth="1"/>
    <col min="5" max="5" width="25.775" customWidth="1"/>
    <col min="6" max="6" width="12.3333333333333" customWidth="1"/>
    <col min="7" max="7" width="11.4416666666667" customWidth="1"/>
    <col min="8" max="8" width="14" customWidth="1"/>
    <col min="9" max="9" width="14.775" customWidth="1"/>
    <col min="10" max="11" width="17.5583333333333" customWidth="1"/>
  </cols>
  <sheetData>
    <row r="1" ht="16.35" customHeight="1" spans="1:11">
      <c r="A1" s="1"/>
      <c r="D1" s="64"/>
      <c r="K1" s="19" t="s">
        <v>167</v>
      </c>
    </row>
    <row r="2" ht="31.95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.05" customHeight="1" spans="1:11">
      <c r="A3" s="65" t="s">
        <v>31</v>
      </c>
      <c r="B3" s="65"/>
      <c r="C3" s="65"/>
      <c r="D3" s="65"/>
      <c r="E3" s="65"/>
      <c r="F3" s="65"/>
      <c r="G3" s="65"/>
      <c r="H3" s="65"/>
      <c r="I3" s="65"/>
      <c r="J3" s="65"/>
      <c r="K3" s="11" t="s">
        <v>32</v>
      </c>
    </row>
    <row r="4" ht="27.6" customHeight="1" spans="1:11">
      <c r="A4" s="4" t="s">
        <v>168</v>
      </c>
      <c r="B4" s="4"/>
      <c r="C4" s="4"/>
      <c r="D4" s="4" t="s">
        <v>169</v>
      </c>
      <c r="E4" s="4" t="s">
        <v>170</v>
      </c>
      <c r="F4" s="4" t="s">
        <v>136</v>
      </c>
      <c r="G4" s="4" t="s">
        <v>171</v>
      </c>
      <c r="H4" s="4" t="s">
        <v>172</v>
      </c>
      <c r="I4" s="4" t="s">
        <v>173</v>
      </c>
      <c r="J4" s="4" t="s">
        <v>174</v>
      </c>
      <c r="K4" s="4" t="s">
        <v>175</v>
      </c>
    </row>
    <row r="5" ht="25.8" customHeight="1" spans="1:11">
      <c r="A5" s="4" t="s">
        <v>176</v>
      </c>
      <c r="B5" s="4" t="s">
        <v>177</v>
      </c>
      <c r="C5" s="4" t="s">
        <v>178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37"/>
      <c r="B6" s="37"/>
      <c r="C6" s="37"/>
      <c r="D6" s="66" t="s">
        <v>136</v>
      </c>
      <c r="E6" s="66"/>
      <c r="F6" s="76">
        <f>F7</f>
        <v>995.5511</v>
      </c>
      <c r="G6" s="76">
        <f>G7</f>
        <v>763.0511</v>
      </c>
      <c r="H6" s="76">
        <f>H7</f>
        <v>232.5</v>
      </c>
      <c r="I6" s="76"/>
      <c r="J6" s="66"/>
      <c r="K6" s="66"/>
    </row>
    <row r="7" ht="22.8" customHeight="1" spans="1:11">
      <c r="A7" s="67"/>
      <c r="B7" s="67"/>
      <c r="C7" s="67"/>
      <c r="D7" s="68" t="s">
        <v>154</v>
      </c>
      <c r="E7" s="68" t="s">
        <v>4</v>
      </c>
      <c r="F7" s="77">
        <f>G7+H7</f>
        <v>995.5511</v>
      </c>
      <c r="G7" s="76">
        <f>G8</f>
        <v>763.0511</v>
      </c>
      <c r="H7" s="76">
        <f>H8</f>
        <v>232.5</v>
      </c>
      <c r="I7" s="76"/>
      <c r="J7" s="89"/>
      <c r="K7" s="89"/>
    </row>
    <row r="8" ht="22.8" customHeight="1" spans="1:11">
      <c r="A8" s="67"/>
      <c r="B8" s="67"/>
      <c r="C8" s="67"/>
      <c r="D8" s="68" t="s">
        <v>155</v>
      </c>
      <c r="E8" s="78" t="s">
        <v>179</v>
      </c>
      <c r="F8" s="79">
        <f>G8+H8</f>
        <v>995.5511</v>
      </c>
      <c r="G8" s="79">
        <f>G14+G21+G26+G31+G9</f>
        <v>763.0511</v>
      </c>
      <c r="H8" s="79">
        <f>H14+H21+H26+H31</f>
        <v>232.5</v>
      </c>
      <c r="I8" s="76"/>
      <c r="J8" s="89"/>
      <c r="K8" s="89"/>
    </row>
    <row r="9" s="20" customFormat="1" ht="18" customHeight="1" spans="1:11">
      <c r="A9" s="69" t="s">
        <v>180</v>
      </c>
      <c r="B9" s="70"/>
      <c r="C9" s="70"/>
      <c r="D9" s="71" t="s">
        <v>181</v>
      </c>
      <c r="E9" s="80" t="s">
        <v>182</v>
      </c>
      <c r="F9" s="81">
        <v>22.6176</v>
      </c>
      <c r="G9" s="81">
        <f>G10+G12</f>
        <v>22.6176</v>
      </c>
      <c r="H9" s="82"/>
      <c r="I9" s="90"/>
      <c r="J9" s="91"/>
      <c r="K9" s="91"/>
    </row>
    <row r="10" s="20" customFormat="1" ht="21.95" customHeight="1" spans="1:11">
      <c r="A10" s="69" t="s">
        <v>180</v>
      </c>
      <c r="B10" s="69" t="s">
        <v>183</v>
      </c>
      <c r="C10" s="70"/>
      <c r="D10" s="72" t="s">
        <v>184</v>
      </c>
      <c r="E10" s="83" t="s">
        <v>185</v>
      </c>
      <c r="F10" s="84">
        <v>22.5816</v>
      </c>
      <c r="G10" s="81">
        <f>G11</f>
        <v>22.5816</v>
      </c>
      <c r="H10" s="82"/>
      <c r="I10" s="90"/>
      <c r="J10" s="92"/>
      <c r="K10" s="92"/>
    </row>
    <row r="11" s="20" customFormat="1" ht="24.95" customHeight="1" spans="1:11">
      <c r="A11" s="69" t="s">
        <v>180</v>
      </c>
      <c r="B11" s="69" t="s">
        <v>183</v>
      </c>
      <c r="C11" s="69" t="s">
        <v>186</v>
      </c>
      <c r="D11" s="72" t="s">
        <v>187</v>
      </c>
      <c r="E11" s="83" t="s">
        <v>188</v>
      </c>
      <c r="F11" s="84">
        <v>22.5816</v>
      </c>
      <c r="G11" s="84">
        <v>22.5816</v>
      </c>
      <c r="H11" s="85"/>
      <c r="I11" s="93"/>
      <c r="J11" s="92"/>
      <c r="K11" s="92"/>
    </row>
    <row r="12" s="20" customFormat="1" ht="21.95" customHeight="1" spans="1:11">
      <c r="A12" s="69" t="s">
        <v>180</v>
      </c>
      <c r="B12" s="69" t="s">
        <v>189</v>
      </c>
      <c r="C12" s="70"/>
      <c r="D12" s="72" t="s">
        <v>190</v>
      </c>
      <c r="E12" s="83" t="s">
        <v>191</v>
      </c>
      <c r="F12" s="84">
        <v>0.036</v>
      </c>
      <c r="G12" s="81">
        <f>G13</f>
        <v>0.036</v>
      </c>
      <c r="H12" s="82"/>
      <c r="I12" s="90"/>
      <c r="J12" s="92"/>
      <c r="K12" s="92"/>
    </row>
    <row r="13" s="20" customFormat="1" ht="24.95" customHeight="1" spans="1:11">
      <c r="A13" s="69" t="s">
        <v>180</v>
      </c>
      <c r="B13" s="69" t="s">
        <v>189</v>
      </c>
      <c r="C13" s="69" t="s">
        <v>186</v>
      </c>
      <c r="D13" s="72" t="s">
        <v>192</v>
      </c>
      <c r="E13" s="83" t="s">
        <v>188</v>
      </c>
      <c r="F13" s="84">
        <v>0.036</v>
      </c>
      <c r="G13" s="84">
        <v>0.036</v>
      </c>
      <c r="H13" s="85"/>
      <c r="I13" s="93"/>
      <c r="J13" s="92"/>
      <c r="K13" s="92"/>
    </row>
    <row r="14" ht="20.7" customHeight="1" spans="1:11">
      <c r="A14" s="73" t="s">
        <v>193</v>
      </c>
      <c r="B14" s="74"/>
      <c r="C14" s="74"/>
      <c r="D14" s="68" t="s">
        <v>194</v>
      </c>
      <c r="E14" s="86" t="s">
        <v>195</v>
      </c>
      <c r="F14" s="79">
        <f>G14+H14</f>
        <v>134.5635</v>
      </c>
      <c r="G14" s="79">
        <f>G17+G19+G15</f>
        <v>134.5635</v>
      </c>
      <c r="H14" s="79"/>
      <c r="I14" s="76"/>
      <c r="J14" s="89"/>
      <c r="K14" s="89"/>
    </row>
    <row r="15" s="20" customFormat="1" ht="21.95" customHeight="1" spans="1:11">
      <c r="A15" s="69" t="s">
        <v>193</v>
      </c>
      <c r="B15" s="69" t="s">
        <v>196</v>
      </c>
      <c r="C15" s="70"/>
      <c r="D15" s="72" t="s">
        <v>197</v>
      </c>
      <c r="E15" s="83" t="s">
        <v>198</v>
      </c>
      <c r="F15" s="84">
        <v>64.7835</v>
      </c>
      <c r="G15" s="81">
        <v>64.7835</v>
      </c>
      <c r="H15" s="82"/>
      <c r="I15" s="90"/>
      <c r="J15" s="92"/>
      <c r="K15" s="92"/>
    </row>
    <row r="16" s="20" customFormat="1" ht="24.95" customHeight="1" spans="1:11">
      <c r="A16" s="69" t="s">
        <v>193</v>
      </c>
      <c r="B16" s="69" t="s">
        <v>196</v>
      </c>
      <c r="C16" s="69" t="s">
        <v>186</v>
      </c>
      <c r="D16" s="72" t="s">
        <v>199</v>
      </c>
      <c r="E16" s="83" t="s">
        <v>188</v>
      </c>
      <c r="F16" s="84">
        <v>64.7835</v>
      </c>
      <c r="G16" s="84">
        <v>64.7835</v>
      </c>
      <c r="H16" s="85"/>
      <c r="I16" s="93"/>
      <c r="J16" s="92"/>
      <c r="K16" s="92"/>
    </row>
    <row r="17" ht="25.05" customHeight="1" spans="1:11">
      <c r="A17" s="73" t="s">
        <v>193</v>
      </c>
      <c r="B17" s="73" t="s">
        <v>200</v>
      </c>
      <c r="C17" s="74"/>
      <c r="D17" s="75" t="s">
        <v>201</v>
      </c>
      <c r="E17" s="87" t="s">
        <v>202</v>
      </c>
      <c r="F17" s="79">
        <f t="shared" ref="F17:F27" si="0">G17+H17</f>
        <v>65.68</v>
      </c>
      <c r="G17" s="79">
        <f>G18</f>
        <v>65.68</v>
      </c>
      <c r="H17" s="79"/>
      <c r="I17" s="76"/>
      <c r="J17" s="94"/>
      <c r="K17" s="94"/>
    </row>
    <row r="18" ht="28.5" customHeight="1" spans="1:11">
      <c r="A18" s="73" t="s">
        <v>193</v>
      </c>
      <c r="B18" s="73" t="s">
        <v>200</v>
      </c>
      <c r="C18" s="73" t="s">
        <v>200</v>
      </c>
      <c r="D18" s="75" t="s">
        <v>203</v>
      </c>
      <c r="E18" s="87" t="s">
        <v>204</v>
      </c>
      <c r="F18" s="79">
        <f t="shared" si="0"/>
        <v>65.68</v>
      </c>
      <c r="G18" s="88">
        <f>11.71+13.82+5.94+11.54+11.16+11.51</f>
        <v>65.68</v>
      </c>
      <c r="H18" s="88"/>
      <c r="I18" s="95"/>
      <c r="J18" s="94"/>
      <c r="K18" s="94"/>
    </row>
    <row r="19" ht="25.05" customHeight="1" spans="1:11">
      <c r="A19" s="73" t="s">
        <v>193</v>
      </c>
      <c r="B19" s="73" t="s">
        <v>205</v>
      </c>
      <c r="C19" s="74"/>
      <c r="D19" s="75" t="s">
        <v>206</v>
      </c>
      <c r="E19" s="87" t="s">
        <v>207</v>
      </c>
      <c r="F19" s="79">
        <f t="shared" si="0"/>
        <v>4.1</v>
      </c>
      <c r="G19" s="79">
        <f>G20</f>
        <v>4.1</v>
      </c>
      <c r="H19" s="79"/>
      <c r="I19" s="76"/>
      <c r="J19" s="94"/>
      <c r="K19" s="94"/>
    </row>
    <row r="20" ht="28.5" customHeight="1" spans="1:11">
      <c r="A20" s="73" t="s">
        <v>193</v>
      </c>
      <c r="B20" s="73" t="s">
        <v>205</v>
      </c>
      <c r="C20" s="73" t="s">
        <v>205</v>
      </c>
      <c r="D20" s="75" t="s">
        <v>208</v>
      </c>
      <c r="E20" s="87" t="s">
        <v>209</v>
      </c>
      <c r="F20" s="79">
        <f t="shared" si="0"/>
        <v>4.1</v>
      </c>
      <c r="G20" s="88">
        <f>0.73+0.86+0.37+0.72+0.7+0.72</f>
        <v>4.1</v>
      </c>
      <c r="H20" s="88"/>
      <c r="I20" s="95"/>
      <c r="J20" s="94"/>
      <c r="K20" s="94"/>
    </row>
    <row r="21" ht="20.7" customHeight="1" spans="1:11">
      <c r="A21" s="73" t="s">
        <v>210</v>
      </c>
      <c r="B21" s="74"/>
      <c r="C21" s="74"/>
      <c r="D21" s="68" t="s">
        <v>211</v>
      </c>
      <c r="E21" s="86" t="s">
        <v>212</v>
      </c>
      <c r="F21" s="79">
        <f t="shared" si="0"/>
        <v>32.14</v>
      </c>
      <c r="G21" s="79">
        <f>G22</f>
        <v>32.14</v>
      </c>
      <c r="H21" s="79"/>
      <c r="I21" s="76"/>
      <c r="J21" s="89"/>
      <c r="K21" s="89"/>
    </row>
    <row r="22" ht="25.05" customHeight="1" spans="1:11">
      <c r="A22" s="73" t="s">
        <v>210</v>
      </c>
      <c r="B22" s="73" t="s">
        <v>213</v>
      </c>
      <c r="C22" s="74"/>
      <c r="D22" s="75" t="s">
        <v>214</v>
      </c>
      <c r="E22" s="87" t="s">
        <v>215</v>
      </c>
      <c r="F22" s="79">
        <f t="shared" si="0"/>
        <v>32.14</v>
      </c>
      <c r="G22" s="79">
        <f>G23+G25+G24</f>
        <v>32.14</v>
      </c>
      <c r="H22" s="79"/>
      <c r="I22" s="76"/>
      <c r="J22" s="94"/>
      <c r="K22" s="94"/>
    </row>
    <row r="23" ht="28.5" customHeight="1" spans="1:11">
      <c r="A23" s="73" t="s">
        <v>210</v>
      </c>
      <c r="B23" s="73" t="s">
        <v>213</v>
      </c>
      <c r="C23" s="73" t="s">
        <v>196</v>
      </c>
      <c r="D23" s="75" t="s">
        <v>216</v>
      </c>
      <c r="E23" s="87" t="s">
        <v>217</v>
      </c>
      <c r="F23" s="79">
        <f t="shared" si="0"/>
        <v>13.56</v>
      </c>
      <c r="G23" s="88">
        <f>6.22+7.34</f>
        <v>13.56</v>
      </c>
      <c r="H23" s="88"/>
      <c r="I23" s="95"/>
      <c r="J23" s="94"/>
      <c r="K23" s="94"/>
    </row>
    <row r="24" ht="28.5" customHeight="1" spans="1:11">
      <c r="A24" s="69" t="s">
        <v>210</v>
      </c>
      <c r="B24" s="69" t="s">
        <v>213</v>
      </c>
      <c r="C24" s="69" t="s">
        <v>218</v>
      </c>
      <c r="D24" s="72" t="s">
        <v>219</v>
      </c>
      <c r="E24" s="83" t="s">
        <v>220</v>
      </c>
      <c r="F24" s="79">
        <f t="shared" si="0"/>
        <v>15.2</v>
      </c>
      <c r="G24" s="84">
        <f>3.15+5.93+6.12</f>
        <v>15.2</v>
      </c>
      <c r="H24" s="84"/>
      <c r="I24" s="96"/>
      <c r="J24" s="97"/>
      <c r="K24" s="97"/>
    </row>
    <row r="25" ht="28.5" customHeight="1" spans="1:11">
      <c r="A25" s="73" t="s">
        <v>210</v>
      </c>
      <c r="B25" s="73" t="s">
        <v>213</v>
      </c>
      <c r="C25" s="73" t="s">
        <v>221</v>
      </c>
      <c r="D25" s="75" t="s">
        <v>222</v>
      </c>
      <c r="E25" s="87" t="s">
        <v>223</v>
      </c>
      <c r="F25" s="79">
        <f t="shared" si="0"/>
        <v>3.38</v>
      </c>
      <c r="G25" s="88">
        <f>0.73+0.86+0.37+0.7+0.72</f>
        <v>3.38</v>
      </c>
      <c r="H25" s="88"/>
      <c r="I25" s="95"/>
      <c r="J25" s="94"/>
      <c r="K25" s="94"/>
    </row>
    <row r="26" ht="20.7" customHeight="1" spans="1:11">
      <c r="A26" s="73" t="s">
        <v>224</v>
      </c>
      <c r="B26" s="74"/>
      <c r="C26" s="74"/>
      <c r="D26" s="68" t="s">
        <v>225</v>
      </c>
      <c r="E26" s="86" t="s">
        <v>226</v>
      </c>
      <c r="F26" s="79">
        <f t="shared" si="0"/>
        <v>756.97</v>
      </c>
      <c r="G26" s="79">
        <f>G27</f>
        <v>524.47</v>
      </c>
      <c r="H26" s="79">
        <f>H27</f>
        <v>232.5</v>
      </c>
      <c r="I26" s="76"/>
      <c r="J26" s="89"/>
      <c r="K26" s="89"/>
    </row>
    <row r="27" ht="25.05" customHeight="1" spans="1:11">
      <c r="A27" s="73" t="s">
        <v>224</v>
      </c>
      <c r="B27" s="73" t="s">
        <v>196</v>
      </c>
      <c r="C27" s="74"/>
      <c r="D27" s="75" t="s">
        <v>227</v>
      </c>
      <c r="E27" s="87" t="s">
        <v>228</v>
      </c>
      <c r="F27" s="79">
        <f t="shared" si="0"/>
        <v>756.97</v>
      </c>
      <c r="G27" s="79">
        <f>G28+G30+G29</f>
        <v>524.47</v>
      </c>
      <c r="H27" s="79">
        <f>H28+H30+H29</f>
        <v>232.5</v>
      </c>
      <c r="I27" s="76"/>
      <c r="J27" s="94"/>
      <c r="K27" s="94"/>
    </row>
    <row r="28" ht="28.5" customHeight="1" spans="1:11">
      <c r="A28" s="73" t="s">
        <v>224</v>
      </c>
      <c r="B28" s="73" t="s">
        <v>196</v>
      </c>
      <c r="C28" s="73" t="s">
        <v>196</v>
      </c>
      <c r="D28" s="75" t="s">
        <v>229</v>
      </c>
      <c r="E28" s="87" t="s">
        <v>230</v>
      </c>
      <c r="F28" s="79">
        <f t="shared" ref="F25:F33" si="1">G28+H28</f>
        <v>108.94</v>
      </c>
      <c r="G28" s="88">
        <v>108.94</v>
      </c>
      <c r="H28" s="88"/>
      <c r="I28" s="95"/>
      <c r="J28" s="94"/>
      <c r="K28" s="94"/>
    </row>
    <row r="29" ht="28.5" customHeight="1" spans="1:11">
      <c r="A29" s="69" t="s">
        <v>224</v>
      </c>
      <c r="B29" s="69" t="s">
        <v>196</v>
      </c>
      <c r="C29" s="69" t="s">
        <v>231</v>
      </c>
      <c r="D29" s="72" t="s">
        <v>232</v>
      </c>
      <c r="E29" s="83" t="s">
        <v>188</v>
      </c>
      <c r="F29" s="79">
        <f t="shared" si="1"/>
        <v>422.53</v>
      </c>
      <c r="G29" s="88">
        <f>118.8+54.05+117.27+105.19+20.22</f>
        <v>415.53</v>
      </c>
      <c r="H29" s="88">
        <f>7</f>
        <v>7</v>
      </c>
      <c r="I29" s="95"/>
      <c r="J29" s="94"/>
      <c r="K29" s="94"/>
    </row>
    <row r="30" ht="28.5" customHeight="1" spans="1:11">
      <c r="A30" s="73" t="s">
        <v>224</v>
      </c>
      <c r="B30" s="73" t="s">
        <v>196</v>
      </c>
      <c r="C30" s="73" t="s">
        <v>205</v>
      </c>
      <c r="D30" s="75" t="s">
        <v>233</v>
      </c>
      <c r="E30" s="87" t="s">
        <v>234</v>
      </c>
      <c r="F30" s="79">
        <f t="shared" si="1"/>
        <v>225.5</v>
      </c>
      <c r="G30" s="88"/>
      <c r="H30" s="88">
        <f>201+24.5</f>
        <v>225.5</v>
      </c>
      <c r="I30" s="95"/>
      <c r="J30" s="94"/>
      <c r="K30" s="94"/>
    </row>
    <row r="31" ht="20.7" customHeight="1" spans="1:11">
      <c r="A31" s="73" t="s">
        <v>235</v>
      </c>
      <c r="B31" s="74"/>
      <c r="C31" s="74"/>
      <c r="D31" s="68" t="s">
        <v>236</v>
      </c>
      <c r="E31" s="86" t="s">
        <v>237</v>
      </c>
      <c r="F31" s="79">
        <f t="shared" si="1"/>
        <v>49.26</v>
      </c>
      <c r="G31" s="79">
        <f>G32</f>
        <v>49.26</v>
      </c>
      <c r="H31" s="79"/>
      <c r="I31" s="76"/>
      <c r="J31" s="89"/>
      <c r="K31" s="89"/>
    </row>
    <row r="32" ht="25.05" customHeight="1" spans="1:11">
      <c r="A32" s="73" t="s">
        <v>235</v>
      </c>
      <c r="B32" s="73" t="s">
        <v>218</v>
      </c>
      <c r="C32" s="74"/>
      <c r="D32" s="75" t="s">
        <v>238</v>
      </c>
      <c r="E32" s="87" t="s">
        <v>239</v>
      </c>
      <c r="F32" s="79">
        <f t="shared" si="1"/>
        <v>49.26</v>
      </c>
      <c r="G32" s="79">
        <f>G33</f>
        <v>49.26</v>
      </c>
      <c r="H32" s="79"/>
      <c r="I32" s="76"/>
      <c r="J32" s="94"/>
      <c r="K32" s="94"/>
    </row>
    <row r="33" ht="28.5" customHeight="1" spans="1:11">
      <c r="A33" s="73" t="s">
        <v>235</v>
      </c>
      <c r="B33" s="73" t="s">
        <v>218</v>
      </c>
      <c r="C33" s="73" t="s">
        <v>196</v>
      </c>
      <c r="D33" s="75" t="s">
        <v>240</v>
      </c>
      <c r="E33" s="87" t="s">
        <v>241</v>
      </c>
      <c r="F33" s="79">
        <f t="shared" si="1"/>
        <v>49.26</v>
      </c>
      <c r="G33" s="88">
        <f>19.15+4.46+8.65+8.37+8.63</f>
        <v>49.26</v>
      </c>
      <c r="H33" s="88"/>
      <c r="I33" s="95"/>
      <c r="J33" s="94"/>
      <c r="K33" s="94"/>
    </row>
    <row r="34" spans="5:8">
      <c r="E34" s="36"/>
      <c r="F34" s="36"/>
      <c r="G34" s="36"/>
      <c r="H34" s="36"/>
    </row>
    <row r="35" spans="5:8">
      <c r="E35" s="36"/>
      <c r="F35" s="36"/>
      <c r="G35" s="36"/>
      <c r="H35" s="3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scale="6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zoomScale="115" zoomScaleNormal="115" topLeftCell="A2" workbookViewId="0">
      <selection activeCell="F10" sqref="F10:P25"/>
    </sheetView>
  </sheetViews>
  <sheetFormatPr defaultColWidth="9.775" defaultRowHeight="14.25"/>
  <cols>
    <col min="1" max="1" width="3.66666666666667" customWidth="1"/>
    <col min="2" max="2" width="4.775" customWidth="1"/>
    <col min="3" max="3" width="4.66666666666667" customWidth="1"/>
    <col min="4" max="4" width="7.33333333333333" customWidth="1"/>
    <col min="5" max="5" width="20.1083333333333" customWidth="1"/>
    <col min="6" max="6" width="9.21666666666667" customWidth="1"/>
    <col min="7" max="12" width="7.21666666666667" customWidth="1"/>
    <col min="13" max="13" width="6.775" customWidth="1"/>
    <col min="14" max="17" width="7.21666666666667" customWidth="1"/>
    <col min="18" max="18" width="7" customWidth="1"/>
    <col min="19" max="20" width="7.21666666666667" customWidth="1"/>
    <col min="21" max="21" width="9.775" customWidth="1"/>
  </cols>
  <sheetData>
    <row r="1" ht="16.35" customHeight="1" spans="1:20">
      <c r="A1" s="1"/>
      <c r="S1" s="19" t="s">
        <v>242</v>
      </c>
      <c r="T1" s="19"/>
    </row>
    <row r="2" ht="42.3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32</v>
      </c>
      <c r="T3" s="11"/>
    </row>
    <row r="4" ht="19.8" customHeight="1" spans="1:20">
      <c r="A4" s="22" t="s">
        <v>168</v>
      </c>
      <c r="B4" s="22"/>
      <c r="C4" s="22"/>
      <c r="D4" s="22" t="s">
        <v>243</v>
      </c>
      <c r="E4" s="22" t="s">
        <v>244</v>
      </c>
      <c r="F4" s="22" t="s">
        <v>245</v>
      </c>
      <c r="G4" s="22" t="s">
        <v>246</v>
      </c>
      <c r="H4" s="22" t="s">
        <v>247</v>
      </c>
      <c r="I4" s="22" t="s">
        <v>248</v>
      </c>
      <c r="J4" s="22" t="s">
        <v>249</v>
      </c>
      <c r="K4" s="22" t="s">
        <v>250</v>
      </c>
      <c r="L4" s="22" t="s">
        <v>251</v>
      </c>
      <c r="M4" s="22" t="s">
        <v>252</v>
      </c>
      <c r="N4" s="22" t="s">
        <v>253</v>
      </c>
      <c r="O4" s="22" t="s">
        <v>254</v>
      </c>
      <c r="P4" s="22" t="s">
        <v>255</v>
      </c>
      <c r="Q4" s="22" t="s">
        <v>256</v>
      </c>
      <c r="R4" s="22" t="s">
        <v>257</v>
      </c>
      <c r="S4" s="22" t="s">
        <v>258</v>
      </c>
      <c r="T4" s="22" t="s">
        <v>259</v>
      </c>
    </row>
    <row r="5" ht="20.7" customHeight="1" spans="1:20">
      <c r="A5" s="22" t="s">
        <v>176</v>
      </c>
      <c r="B5" s="22" t="s">
        <v>177</v>
      </c>
      <c r="C5" s="22" t="s">
        <v>178</v>
      </c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</row>
    <row r="6" ht="22.8" customHeight="1" spans="1:20">
      <c r="A6" s="16"/>
      <c r="B6" s="16"/>
      <c r="C6" s="16"/>
      <c r="D6" s="16"/>
      <c r="E6" s="16" t="s">
        <v>136</v>
      </c>
      <c r="F6" s="15">
        <f>F7</f>
        <v>995.5471</v>
      </c>
      <c r="G6" s="15">
        <f>G7</f>
        <v>116.911756</v>
      </c>
      <c r="H6" s="15">
        <f>H7</f>
        <v>221.196</v>
      </c>
      <c r="I6" s="15"/>
      <c r="J6" s="15"/>
      <c r="K6" s="15">
        <f>K7</f>
        <v>436.2511</v>
      </c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 t="s">
        <v>154</v>
      </c>
      <c r="E7" s="14" t="s">
        <v>4</v>
      </c>
      <c r="F7" s="15">
        <f>F8</f>
        <v>995.5471</v>
      </c>
      <c r="G7" s="15">
        <v>116.911756</v>
      </c>
      <c r="H7" s="15">
        <v>221.196</v>
      </c>
      <c r="I7" s="15"/>
      <c r="J7" s="15"/>
      <c r="K7" s="15">
        <f>K8</f>
        <v>436.2511</v>
      </c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28"/>
      <c r="B8" s="28"/>
      <c r="C8" s="28"/>
      <c r="D8" s="26" t="s">
        <v>155</v>
      </c>
      <c r="E8" s="26" t="s">
        <v>156</v>
      </c>
      <c r="F8" s="62">
        <f t="shared" ref="F8:K8" si="0">SUM(F9:F20)</f>
        <v>995.5471</v>
      </c>
      <c r="G8" s="62">
        <f t="shared" si="0"/>
        <v>313.6</v>
      </c>
      <c r="H8" s="62">
        <f t="shared" si="0"/>
        <v>221.196</v>
      </c>
      <c r="I8" s="62">
        <f t="shared" si="0"/>
        <v>0</v>
      </c>
      <c r="J8" s="62">
        <f t="shared" si="0"/>
        <v>0</v>
      </c>
      <c r="K8" s="62">
        <f t="shared" si="0"/>
        <v>436.2511</v>
      </c>
      <c r="L8" s="62"/>
      <c r="M8" s="15"/>
      <c r="N8" s="15"/>
      <c r="O8" s="62"/>
      <c r="P8" s="15"/>
      <c r="Q8" s="15"/>
      <c r="R8" s="62"/>
      <c r="S8" s="15"/>
      <c r="T8" s="15"/>
    </row>
    <row r="9" s="20" customFormat="1" ht="19.9" customHeight="1" spans="1:20">
      <c r="A9" s="38" t="s">
        <v>180</v>
      </c>
      <c r="B9" s="38" t="s">
        <v>183</v>
      </c>
      <c r="C9" s="38" t="s">
        <v>186</v>
      </c>
      <c r="D9" s="24" t="s">
        <v>260</v>
      </c>
      <c r="E9" s="61" t="s">
        <v>261</v>
      </c>
      <c r="F9" s="63">
        <v>22.5816</v>
      </c>
      <c r="G9" s="63"/>
      <c r="H9" s="63"/>
      <c r="I9" s="63"/>
      <c r="J9" s="63"/>
      <c r="K9" s="63">
        <v>22.5816</v>
      </c>
      <c r="L9" s="63"/>
      <c r="M9" s="63"/>
      <c r="N9" s="63"/>
      <c r="O9" s="63"/>
      <c r="P9" s="63"/>
      <c r="Q9" s="63"/>
      <c r="R9" s="63"/>
      <c r="S9" s="63"/>
      <c r="T9" s="63"/>
    </row>
    <row r="10" s="20" customFormat="1" ht="19.9" customHeight="1" spans="1:20">
      <c r="A10" s="38" t="s">
        <v>180</v>
      </c>
      <c r="B10" s="38" t="s">
        <v>189</v>
      </c>
      <c r="C10" s="38" t="s">
        <v>186</v>
      </c>
      <c r="D10" s="24" t="s">
        <v>260</v>
      </c>
      <c r="E10" s="61" t="s">
        <v>261</v>
      </c>
      <c r="F10" s="8">
        <v>0.036</v>
      </c>
      <c r="G10" s="8"/>
      <c r="H10" s="8"/>
      <c r="I10" s="8"/>
      <c r="J10" s="8"/>
      <c r="K10" s="8">
        <v>0.036</v>
      </c>
      <c r="L10" s="8"/>
      <c r="M10" s="8"/>
      <c r="N10" s="8"/>
      <c r="O10" s="8"/>
      <c r="P10" s="8"/>
      <c r="Q10" s="63"/>
      <c r="R10" s="63"/>
      <c r="S10" s="63"/>
      <c r="T10" s="63"/>
    </row>
    <row r="11" s="20" customFormat="1" ht="19.9" customHeight="1" spans="1:20">
      <c r="A11" s="38" t="s">
        <v>193</v>
      </c>
      <c r="B11" s="38" t="s">
        <v>196</v>
      </c>
      <c r="C11" s="38" t="s">
        <v>186</v>
      </c>
      <c r="D11" s="24" t="s">
        <v>260</v>
      </c>
      <c r="E11" s="61" t="s">
        <v>261</v>
      </c>
      <c r="F11" s="8">
        <v>64.7835</v>
      </c>
      <c r="G11" s="8"/>
      <c r="H11" s="8"/>
      <c r="I11" s="8"/>
      <c r="J11" s="8"/>
      <c r="K11" s="8">
        <v>64.7835</v>
      </c>
      <c r="L11" s="8"/>
      <c r="M11" s="8"/>
      <c r="N11" s="8"/>
      <c r="O11" s="8"/>
      <c r="P11" s="8"/>
      <c r="Q11" s="63"/>
      <c r="R11" s="63"/>
      <c r="S11" s="63"/>
      <c r="T11" s="63"/>
    </row>
    <row r="12" ht="22.8" customHeight="1" spans="1:20">
      <c r="A12" s="29" t="s">
        <v>193</v>
      </c>
      <c r="B12" s="29" t="s">
        <v>200</v>
      </c>
      <c r="C12" s="29" t="s">
        <v>200</v>
      </c>
      <c r="D12" s="23" t="s">
        <v>262</v>
      </c>
      <c r="E12" s="30" t="s">
        <v>263</v>
      </c>
      <c r="F12" s="34">
        <f t="shared" ref="F12:F20" si="1">SUM(G12:K12)</f>
        <v>65.68</v>
      </c>
      <c r="G12" s="34">
        <f>11.71+13.82+5.94</f>
        <v>31.47</v>
      </c>
      <c r="H12" s="34"/>
      <c r="I12" s="34"/>
      <c r="J12" s="34"/>
      <c r="K12" s="34">
        <f>11.54+11.16+11.51</f>
        <v>34.21</v>
      </c>
      <c r="L12" s="34"/>
      <c r="M12" s="34"/>
      <c r="N12" s="34"/>
      <c r="O12" s="34"/>
      <c r="P12" s="34"/>
      <c r="Q12" s="31"/>
      <c r="R12" s="31"/>
      <c r="S12" s="31"/>
      <c r="T12" s="31"/>
    </row>
    <row r="13" ht="22.8" customHeight="1" spans="1:20">
      <c r="A13" s="29" t="s">
        <v>193</v>
      </c>
      <c r="B13" s="29" t="s">
        <v>205</v>
      </c>
      <c r="C13" s="29" t="s">
        <v>205</v>
      </c>
      <c r="D13" s="23" t="s">
        <v>262</v>
      </c>
      <c r="E13" s="30" t="s">
        <v>264</v>
      </c>
      <c r="F13" s="34">
        <f t="shared" si="1"/>
        <v>4.1</v>
      </c>
      <c r="G13" s="34">
        <f>0.73+0.86+0.37</f>
        <v>1.96</v>
      </c>
      <c r="H13" s="34"/>
      <c r="I13" s="34"/>
      <c r="J13" s="34"/>
      <c r="K13" s="34">
        <f>0.72+0.7+0.72</f>
        <v>2.14</v>
      </c>
      <c r="L13" s="34"/>
      <c r="M13" s="34"/>
      <c r="N13" s="34"/>
      <c r="O13" s="34"/>
      <c r="P13" s="34"/>
      <c r="Q13" s="31"/>
      <c r="R13" s="31"/>
      <c r="S13" s="31"/>
      <c r="T13" s="31"/>
    </row>
    <row r="14" ht="22.8" customHeight="1" spans="1:20">
      <c r="A14" s="29" t="s">
        <v>210</v>
      </c>
      <c r="B14" s="29" t="s">
        <v>213</v>
      </c>
      <c r="C14" s="29" t="s">
        <v>196</v>
      </c>
      <c r="D14" s="23" t="s">
        <v>262</v>
      </c>
      <c r="E14" s="30" t="s">
        <v>265</v>
      </c>
      <c r="F14" s="34">
        <f t="shared" si="1"/>
        <v>13.56</v>
      </c>
      <c r="G14" s="34">
        <f>6.22+7.34</f>
        <v>13.56</v>
      </c>
      <c r="H14" s="34"/>
      <c r="I14" s="34"/>
      <c r="J14" s="34"/>
      <c r="K14" s="34"/>
      <c r="L14" s="34"/>
      <c r="M14" s="34"/>
      <c r="N14" s="34"/>
      <c r="O14" s="34"/>
      <c r="P14" s="34"/>
      <c r="Q14" s="31"/>
      <c r="R14" s="31"/>
      <c r="S14" s="31"/>
      <c r="T14" s="31"/>
    </row>
    <row r="15" s="20" customFormat="1" ht="22.9" customHeight="1" spans="1:20">
      <c r="A15" s="38" t="s">
        <v>210</v>
      </c>
      <c r="B15" s="38" t="s">
        <v>213</v>
      </c>
      <c r="C15" s="38" t="s">
        <v>218</v>
      </c>
      <c r="D15" s="23" t="s">
        <v>262</v>
      </c>
      <c r="E15" s="61" t="s">
        <v>266</v>
      </c>
      <c r="F15" s="34">
        <f t="shared" si="1"/>
        <v>15.2</v>
      </c>
      <c r="G15" s="8">
        <f>3.15</f>
        <v>3.15</v>
      </c>
      <c r="H15" s="8"/>
      <c r="I15" s="8"/>
      <c r="J15" s="8"/>
      <c r="K15" s="8">
        <f>5.93+6.12</f>
        <v>12.05</v>
      </c>
      <c r="L15" s="8"/>
      <c r="M15" s="8"/>
      <c r="N15" s="8"/>
      <c r="O15" s="8"/>
      <c r="P15" s="8"/>
      <c r="Q15" s="63"/>
      <c r="R15" s="63"/>
      <c r="S15" s="63"/>
      <c r="T15" s="63"/>
    </row>
    <row r="16" ht="22.8" customHeight="1" spans="1:20">
      <c r="A16" s="29" t="s">
        <v>210</v>
      </c>
      <c r="B16" s="29" t="s">
        <v>213</v>
      </c>
      <c r="C16" s="29" t="s">
        <v>221</v>
      </c>
      <c r="D16" s="23" t="s">
        <v>262</v>
      </c>
      <c r="E16" s="30" t="s">
        <v>267</v>
      </c>
      <c r="F16" s="34">
        <f t="shared" si="1"/>
        <v>3.38</v>
      </c>
      <c r="G16" s="34">
        <f>0.73+0.86+0.37</f>
        <v>1.96</v>
      </c>
      <c r="H16" s="34"/>
      <c r="I16" s="34"/>
      <c r="J16" s="34"/>
      <c r="K16" s="34">
        <f>0.7+0.72</f>
        <v>1.42</v>
      </c>
      <c r="L16" s="34"/>
      <c r="M16" s="34"/>
      <c r="N16" s="34"/>
      <c r="O16" s="34"/>
      <c r="P16" s="34"/>
      <c r="Q16" s="31"/>
      <c r="R16" s="31"/>
      <c r="S16" s="31"/>
      <c r="T16" s="31"/>
    </row>
    <row r="17" ht="22.8" customHeight="1" spans="1:20">
      <c r="A17" s="29" t="s">
        <v>224</v>
      </c>
      <c r="B17" s="29" t="s">
        <v>196</v>
      </c>
      <c r="C17" s="29" t="s">
        <v>196</v>
      </c>
      <c r="D17" s="23" t="s">
        <v>262</v>
      </c>
      <c r="E17" s="30" t="s">
        <v>268</v>
      </c>
      <c r="F17" s="34">
        <f t="shared" si="1"/>
        <v>108.936</v>
      </c>
      <c r="G17" s="34">
        <f>88.74</f>
        <v>88.74</v>
      </c>
      <c r="H17" s="34">
        <v>20.196</v>
      </c>
      <c r="I17" s="34"/>
      <c r="J17" s="34"/>
      <c r="K17" s="34"/>
      <c r="L17" s="34"/>
      <c r="M17" s="34"/>
      <c r="N17" s="34"/>
      <c r="O17" s="34"/>
      <c r="P17" s="34"/>
      <c r="Q17" s="31"/>
      <c r="R17" s="31"/>
      <c r="S17" s="31"/>
      <c r="T17" s="31"/>
    </row>
    <row r="18" ht="22.8" customHeight="1" spans="1:20">
      <c r="A18" s="38" t="s">
        <v>224</v>
      </c>
      <c r="B18" s="38" t="s">
        <v>196</v>
      </c>
      <c r="C18" s="38" t="s">
        <v>231</v>
      </c>
      <c r="D18" s="23" t="s">
        <v>262</v>
      </c>
      <c r="E18" s="61" t="s">
        <v>261</v>
      </c>
      <c r="F18" s="34">
        <f t="shared" si="1"/>
        <v>422.53</v>
      </c>
      <c r="G18" s="8">
        <f>104.4+44.75</f>
        <v>149.15</v>
      </c>
      <c r="H18" s="8"/>
      <c r="I18" s="8"/>
      <c r="J18" s="8"/>
      <c r="K18" s="8">
        <f>14.4+9.3+124.27+105.19+20.22</f>
        <v>273.38</v>
      </c>
      <c r="L18" s="8"/>
      <c r="M18" s="8"/>
      <c r="N18" s="8"/>
      <c r="O18" s="8"/>
      <c r="P18" s="8"/>
      <c r="Q18" s="63"/>
      <c r="R18" s="63"/>
      <c r="S18" s="63"/>
      <c r="T18" s="63"/>
    </row>
    <row r="19" ht="22.8" customHeight="1" spans="1:20">
      <c r="A19" s="29" t="s">
        <v>224</v>
      </c>
      <c r="B19" s="29" t="s">
        <v>196</v>
      </c>
      <c r="C19" s="29" t="s">
        <v>205</v>
      </c>
      <c r="D19" s="23" t="s">
        <v>262</v>
      </c>
      <c r="E19" s="30" t="s">
        <v>269</v>
      </c>
      <c r="F19" s="34">
        <f>SUM(G19:T19)</f>
        <v>225.5</v>
      </c>
      <c r="G19" s="34"/>
      <c r="H19" s="34">
        <v>201</v>
      </c>
      <c r="I19" s="34"/>
      <c r="J19" s="34"/>
      <c r="K19" s="34"/>
      <c r="L19" s="34"/>
      <c r="M19" s="34"/>
      <c r="N19" s="34"/>
      <c r="O19" s="34"/>
      <c r="P19" s="34"/>
      <c r="Q19" s="31"/>
      <c r="R19" s="31"/>
      <c r="S19" s="31"/>
      <c r="T19" s="31">
        <f>24.5</f>
        <v>24.5</v>
      </c>
    </row>
    <row r="20" ht="22.8" customHeight="1" spans="1:20">
      <c r="A20" s="29" t="s">
        <v>235</v>
      </c>
      <c r="B20" s="29" t="s">
        <v>218</v>
      </c>
      <c r="C20" s="29" t="s">
        <v>196</v>
      </c>
      <c r="D20" s="23" t="s">
        <v>262</v>
      </c>
      <c r="E20" s="30" t="s">
        <v>270</v>
      </c>
      <c r="F20" s="34">
        <f t="shared" si="1"/>
        <v>49.26</v>
      </c>
      <c r="G20" s="34">
        <f>8.79+10.36+4.46</f>
        <v>23.61</v>
      </c>
      <c r="H20" s="34"/>
      <c r="I20" s="34"/>
      <c r="J20" s="34"/>
      <c r="K20" s="34">
        <f>8.65+8.37+8.63</f>
        <v>25.65</v>
      </c>
      <c r="L20" s="34"/>
      <c r="M20" s="34"/>
      <c r="N20" s="34"/>
      <c r="O20" s="34"/>
      <c r="P20" s="34"/>
      <c r="Q20" s="31"/>
      <c r="R20" s="31"/>
      <c r="S20" s="31"/>
      <c r="T20" s="31"/>
    </row>
    <row r="21" spans="6:16"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</row>
    <row r="22" spans="6:16"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</row>
    <row r="23" spans="6:16"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</row>
    <row r="24" spans="6:16"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6:16"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5"/>
  <sheetViews>
    <sheetView zoomScale="130" zoomScaleNormal="130" workbookViewId="0">
      <selection activeCell="J11" sqref="J11"/>
    </sheetView>
  </sheetViews>
  <sheetFormatPr defaultColWidth="9.775" defaultRowHeight="14.25"/>
  <cols>
    <col min="1" max="2" width="4.10833333333333" customWidth="1"/>
    <col min="3" max="3" width="4.21666666666667" customWidth="1"/>
    <col min="4" max="4" width="6.10833333333333" customWidth="1"/>
    <col min="5" max="5" width="15.8833333333333" customWidth="1"/>
    <col min="6" max="6" width="9" customWidth="1"/>
    <col min="7" max="7" width="7.21666666666667" customWidth="1"/>
    <col min="8" max="8" width="6.21666666666667" customWidth="1"/>
    <col min="9" max="16" width="7.21666666666667" customWidth="1"/>
    <col min="17" max="17" width="5.775" customWidth="1"/>
    <col min="18" max="21" width="7.21666666666667" customWidth="1"/>
    <col min="22" max="22" width="9.775" customWidth="1"/>
  </cols>
  <sheetData>
    <row r="1" ht="16.35" customHeight="1" spans="1:21">
      <c r="A1" s="1"/>
      <c r="T1" s="19" t="s">
        <v>271</v>
      </c>
      <c r="U1" s="19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2.35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1" t="s">
        <v>32</v>
      </c>
      <c r="U3" s="11"/>
    </row>
    <row r="4" ht="22.35" customHeight="1" spans="1:21">
      <c r="A4" s="22" t="s">
        <v>168</v>
      </c>
      <c r="B4" s="22"/>
      <c r="C4" s="22"/>
      <c r="D4" s="22" t="s">
        <v>243</v>
      </c>
      <c r="E4" s="22" t="s">
        <v>244</v>
      </c>
      <c r="F4" s="22" t="s">
        <v>272</v>
      </c>
      <c r="G4" s="22" t="s">
        <v>171</v>
      </c>
      <c r="H4" s="22"/>
      <c r="I4" s="22"/>
      <c r="J4" s="22"/>
      <c r="K4" s="22" t="s">
        <v>172</v>
      </c>
      <c r="L4" s="22"/>
      <c r="M4" s="22"/>
      <c r="N4" s="22"/>
      <c r="O4" s="22"/>
      <c r="P4" s="22"/>
      <c r="Q4" s="22"/>
      <c r="R4" s="22"/>
      <c r="S4" s="22"/>
      <c r="T4" s="22"/>
      <c r="U4" s="22"/>
    </row>
    <row r="5" ht="39.6" customHeight="1" spans="1:21">
      <c r="A5" s="22" t="s">
        <v>176</v>
      </c>
      <c r="B5" s="22" t="s">
        <v>177</v>
      </c>
      <c r="C5" s="22" t="s">
        <v>178</v>
      </c>
      <c r="D5" s="22"/>
      <c r="E5" s="22"/>
      <c r="F5" s="22"/>
      <c r="G5" s="22" t="s">
        <v>136</v>
      </c>
      <c r="H5" s="22" t="s">
        <v>273</v>
      </c>
      <c r="I5" s="22" t="s">
        <v>274</v>
      </c>
      <c r="J5" s="22" t="s">
        <v>254</v>
      </c>
      <c r="K5" s="22" t="s">
        <v>136</v>
      </c>
      <c r="L5" s="22" t="s">
        <v>275</v>
      </c>
      <c r="M5" s="22" t="s">
        <v>276</v>
      </c>
      <c r="N5" s="22" t="s">
        <v>277</v>
      </c>
      <c r="O5" s="22" t="s">
        <v>256</v>
      </c>
      <c r="P5" s="22" t="s">
        <v>278</v>
      </c>
      <c r="Q5" s="22" t="s">
        <v>279</v>
      </c>
      <c r="R5" s="22" t="s">
        <v>280</v>
      </c>
      <c r="S5" s="22" t="s">
        <v>252</v>
      </c>
      <c r="T5" s="22" t="s">
        <v>255</v>
      </c>
      <c r="U5" s="22" t="s">
        <v>259</v>
      </c>
    </row>
    <row r="6" ht="22.8" customHeight="1" spans="1:21">
      <c r="A6" s="16"/>
      <c r="B6" s="16"/>
      <c r="C6" s="16"/>
      <c r="D6" s="16"/>
      <c r="E6" s="16" t="s">
        <v>136</v>
      </c>
      <c r="F6" s="15">
        <f>F7</f>
        <v>995.5471</v>
      </c>
      <c r="G6" s="15">
        <f t="shared" ref="G6:U6" si="0">G7</f>
        <v>763.0471</v>
      </c>
      <c r="H6" s="15">
        <f t="shared" si="0"/>
        <v>677.6311</v>
      </c>
      <c r="I6" s="15">
        <f t="shared" si="0"/>
        <v>85.416</v>
      </c>
      <c r="J6" s="15">
        <f t="shared" si="0"/>
        <v>0</v>
      </c>
      <c r="K6" s="15">
        <f t="shared" si="0"/>
        <v>232.5</v>
      </c>
      <c r="L6" s="15">
        <f t="shared" si="0"/>
        <v>0</v>
      </c>
      <c r="M6" s="15">
        <f t="shared" si="0"/>
        <v>208</v>
      </c>
      <c r="N6" s="15">
        <f t="shared" si="0"/>
        <v>0</v>
      </c>
      <c r="O6" s="15">
        <f t="shared" si="0"/>
        <v>0</v>
      </c>
      <c r="P6" s="15">
        <f t="shared" si="0"/>
        <v>0</v>
      </c>
      <c r="Q6" s="15">
        <f t="shared" si="0"/>
        <v>0</v>
      </c>
      <c r="R6" s="15">
        <f t="shared" si="0"/>
        <v>0</v>
      </c>
      <c r="S6" s="15">
        <f t="shared" si="0"/>
        <v>0</v>
      </c>
      <c r="T6" s="15">
        <f t="shared" si="0"/>
        <v>0</v>
      </c>
      <c r="U6" s="15">
        <f t="shared" si="0"/>
        <v>24.5</v>
      </c>
    </row>
    <row r="7" ht="22.8" customHeight="1" spans="1:21">
      <c r="A7" s="16"/>
      <c r="B7" s="16"/>
      <c r="C7" s="16"/>
      <c r="D7" s="14" t="s">
        <v>154</v>
      </c>
      <c r="E7" s="14" t="s">
        <v>4</v>
      </c>
      <c r="F7" s="43">
        <f>F8</f>
        <v>995.5471</v>
      </c>
      <c r="G7" s="43">
        <f t="shared" ref="G7:U7" si="1">G8</f>
        <v>763.0471</v>
      </c>
      <c r="H7" s="43">
        <f t="shared" si="1"/>
        <v>677.6311</v>
      </c>
      <c r="I7" s="43">
        <f t="shared" si="1"/>
        <v>85.416</v>
      </c>
      <c r="J7" s="43">
        <f t="shared" si="1"/>
        <v>0</v>
      </c>
      <c r="K7" s="43">
        <f t="shared" si="1"/>
        <v>232.5</v>
      </c>
      <c r="L7" s="43">
        <f t="shared" si="1"/>
        <v>0</v>
      </c>
      <c r="M7" s="43">
        <f t="shared" si="1"/>
        <v>208</v>
      </c>
      <c r="N7" s="43">
        <f t="shared" si="1"/>
        <v>0</v>
      </c>
      <c r="O7" s="43">
        <f t="shared" si="1"/>
        <v>0</v>
      </c>
      <c r="P7" s="43">
        <f t="shared" si="1"/>
        <v>0</v>
      </c>
      <c r="Q7" s="43">
        <f t="shared" si="1"/>
        <v>0</v>
      </c>
      <c r="R7" s="43">
        <f t="shared" si="1"/>
        <v>0</v>
      </c>
      <c r="S7" s="43">
        <f t="shared" si="1"/>
        <v>0</v>
      </c>
      <c r="T7" s="43">
        <f t="shared" si="1"/>
        <v>0</v>
      </c>
      <c r="U7" s="43">
        <f t="shared" si="1"/>
        <v>24.5</v>
      </c>
    </row>
    <row r="8" ht="22.8" customHeight="1" spans="1:21">
      <c r="A8" s="28"/>
      <c r="B8" s="28"/>
      <c r="C8" s="28"/>
      <c r="D8" s="26" t="s">
        <v>155</v>
      </c>
      <c r="E8" s="26" t="s">
        <v>156</v>
      </c>
      <c r="F8" s="43">
        <f>G8+K8</f>
        <v>995.5471</v>
      </c>
      <c r="G8" s="15">
        <f>H8+I8+J8</f>
        <v>763.0471</v>
      </c>
      <c r="H8" s="15">
        <f>SUM(H9:H20)</f>
        <v>677.6311</v>
      </c>
      <c r="I8" s="15">
        <f t="shared" ref="I8:U8" si="2">SUM(I9:I20)</f>
        <v>85.416</v>
      </c>
      <c r="J8" s="15">
        <f t="shared" si="2"/>
        <v>0</v>
      </c>
      <c r="K8" s="15">
        <f t="shared" si="2"/>
        <v>232.5</v>
      </c>
      <c r="L8" s="15">
        <f t="shared" si="2"/>
        <v>0</v>
      </c>
      <c r="M8" s="15">
        <f t="shared" si="2"/>
        <v>208</v>
      </c>
      <c r="N8" s="15">
        <f t="shared" si="2"/>
        <v>0</v>
      </c>
      <c r="O8" s="15">
        <f t="shared" si="2"/>
        <v>0</v>
      </c>
      <c r="P8" s="15">
        <f t="shared" si="2"/>
        <v>0</v>
      </c>
      <c r="Q8" s="15">
        <f t="shared" si="2"/>
        <v>0</v>
      </c>
      <c r="R8" s="15">
        <f t="shared" si="2"/>
        <v>0</v>
      </c>
      <c r="S8" s="15">
        <f t="shared" si="2"/>
        <v>0</v>
      </c>
      <c r="T8" s="15">
        <f t="shared" si="2"/>
        <v>0</v>
      </c>
      <c r="U8" s="15">
        <f t="shared" si="2"/>
        <v>24.5</v>
      </c>
    </row>
    <row r="9" s="20" customFormat="1" ht="19.9" customHeight="1" spans="1:21">
      <c r="A9" s="38" t="s">
        <v>180</v>
      </c>
      <c r="B9" s="38" t="s">
        <v>183</v>
      </c>
      <c r="C9" s="38" t="s">
        <v>186</v>
      </c>
      <c r="D9" s="24" t="s">
        <v>260</v>
      </c>
      <c r="E9" s="61" t="s">
        <v>261</v>
      </c>
      <c r="F9" s="40">
        <v>22.5816</v>
      </c>
      <c r="G9" s="8">
        <v>22.5816</v>
      </c>
      <c r="H9" s="8">
        <v>22.5816</v>
      </c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="20" customFormat="1" ht="19.9" customHeight="1" spans="1:21">
      <c r="A10" s="38" t="s">
        <v>180</v>
      </c>
      <c r="B10" s="38" t="s">
        <v>189</v>
      </c>
      <c r="C10" s="38" t="s">
        <v>186</v>
      </c>
      <c r="D10" s="24" t="s">
        <v>260</v>
      </c>
      <c r="E10" s="61" t="s">
        <v>261</v>
      </c>
      <c r="F10" s="40">
        <v>0.036</v>
      </c>
      <c r="G10" s="8">
        <v>0.036</v>
      </c>
      <c r="H10" s="8">
        <v>0.036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="20" customFormat="1" ht="19.9" customHeight="1" spans="1:21">
      <c r="A11" s="38" t="s">
        <v>193</v>
      </c>
      <c r="B11" s="38" t="s">
        <v>196</v>
      </c>
      <c r="C11" s="38" t="s">
        <v>186</v>
      </c>
      <c r="D11" s="24" t="s">
        <v>260</v>
      </c>
      <c r="E11" s="61" t="s">
        <v>261</v>
      </c>
      <c r="F11" s="40">
        <v>64.7835</v>
      </c>
      <c r="G11" s="8">
        <v>64.7835</v>
      </c>
      <c r="H11" s="8">
        <v>64.7835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ht="22.8" customHeight="1" spans="1:21">
      <c r="A12" s="29" t="s">
        <v>193</v>
      </c>
      <c r="B12" s="29" t="s">
        <v>200</v>
      </c>
      <c r="C12" s="29" t="s">
        <v>200</v>
      </c>
      <c r="D12" s="23" t="s">
        <v>262</v>
      </c>
      <c r="E12" s="30" t="s">
        <v>263</v>
      </c>
      <c r="F12" s="43">
        <f t="shared" ref="F12:F20" si="3">G12+K12</f>
        <v>65.68</v>
      </c>
      <c r="G12" s="33">
        <f t="shared" ref="G12:G20" si="4">H12+I12+J12</f>
        <v>65.68</v>
      </c>
      <c r="H12" s="34">
        <f>11.71+13.82+5.94+11.54+11.16+11.51</f>
        <v>65.68</v>
      </c>
      <c r="I12" s="34"/>
      <c r="J12" s="34"/>
      <c r="K12" s="33">
        <f>L12+M12</f>
        <v>0</v>
      </c>
      <c r="L12" s="34"/>
      <c r="M12" s="34"/>
      <c r="N12" s="34"/>
      <c r="O12" s="6"/>
      <c r="P12" s="6"/>
      <c r="Q12" s="6"/>
      <c r="R12" s="6"/>
      <c r="S12" s="6"/>
      <c r="T12" s="6"/>
      <c r="U12" s="6"/>
    </row>
    <row r="13" ht="22.8" customHeight="1" spans="1:21">
      <c r="A13" s="29" t="s">
        <v>193</v>
      </c>
      <c r="B13" s="29" t="s">
        <v>205</v>
      </c>
      <c r="C13" s="29" t="s">
        <v>205</v>
      </c>
      <c r="D13" s="23" t="s">
        <v>262</v>
      </c>
      <c r="E13" s="30" t="s">
        <v>264</v>
      </c>
      <c r="F13" s="43">
        <f t="shared" si="3"/>
        <v>4.1</v>
      </c>
      <c r="G13" s="33">
        <f t="shared" si="4"/>
        <v>4.1</v>
      </c>
      <c r="H13" s="34">
        <f>0.73+0.86+0.37+0.72+0.7+0.72</f>
        <v>4.1</v>
      </c>
      <c r="I13" s="34"/>
      <c r="J13" s="34"/>
      <c r="K13" s="33">
        <f>L13+M13</f>
        <v>0</v>
      </c>
      <c r="L13" s="34"/>
      <c r="M13" s="34"/>
      <c r="N13" s="34"/>
      <c r="O13" s="6"/>
      <c r="P13" s="6"/>
      <c r="Q13" s="6"/>
      <c r="R13" s="6"/>
      <c r="S13" s="6"/>
      <c r="T13" s="6"/>
      <c r="U13" s="6"/>
    </row>
    <row r="14" ht="22.8" customHeight="1" spans="1:21">
      <c r="A14" s="29" t="s">
        <v>210</v>
      </c>
      <c r="B14" s="29" t="s">
        <v>213</v>
      </c>
      <c r="C14" s="29" t="s">
        <v>196</v>
      </c>
      <c r="D14" s="23" t="s">
        <v>262</v>
      </c>
      <c r="E14" s="30" t="s">
        <v>265</v>
      </c>
      <c r="F14" s="43">
        <f t="shared" si="3"/>
        <v>13.56</v>
      </c>
      <c r="G14" s="33">
        <f t="shared" si="4"/>
        <v>13.56</v>
      </c>
      <c r="H14" s="34">
        <f>6.22+7.34</f>
        <v>13.56</v>
      </c>
      <c r="I14" s="34"/>
      <c r="J14" s="34"/>
      <c r="K14" s="33">
        <f>L14+M14</f>
        <v>0</v>
      </c>
      <c r="L14" s="34"/>
      <c r="M14" s="34"/>
      <c r="N14" s="34"/>
      <c r="O14" s="6"/>
      <c r="P14" s="6"/>
      <c r="Q14" s="6"/>
      <c r="R14" s="6"/>
      <c r="S14" s="6"/>
      <c r="T14" s="6"/>
      <c r="U14" s="6"/>
    </row>
    <row r="15" s="20" customFormat="1" ht="22.9" customHeight="1" spans="1:21">
      <c r="A15" s="38" t="s">
        <v>210</v>
      </c>
      <c r="B15" s="38" t="s">
        <v>213</v>
      </c>
      <c r="C15" s="38" t="s">
        <v>218</v>
      </c>
      <c r="D15" s="24" t="s">
        <v>281</v>
      </c>
      <c r="E15" s="61" t="s">
        <v>266</v>
      </c>
      <c r="F15" s="43">
        <f t="shared" si="3"/>
        <v>15.2</v>
      </c>
      <c r="G15" s="33">
        <f t="shared" si="4"/>
        <v>15.2</v>
      </c>
      <c r="H15" s="8">
        <f>3.15+5.93+6.12</f>
        <v>15.2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ht="22.8" customHeight="1" spans="1:21">
      <c r="A16" s="29" t="s">
        <v>210</v>
      </c>
      <c r="B16" s="29" t="s">
        <v>213</v>
      </c>
      <c r="C16" s="29" t="s">
        <v>221</v>
      </c>
      <c r="D16" s="23" t="s">
        <v>262</v>
      </c>
      <c r="E16" s="30" t="s">
        <v>267</v>
      </c>
      <c r="F16" s="43">
        <f t="shared" si="3"/>
        <v>3.38</v>
      </c>
      <c r="G16" s="33">
        <f t="shared" si="4"/>
        <v>3.38</v>
      </c>
      <c r="H16" s="34">
        <f>0.73+0.86+0.37+0.7+0.72</f>
        <v>3.38</v>
      </c>
      <c r="I16" s="34"/>
      <c r="J16" s="34"/>
      <c r="K16" s="33">
        <f>L16+M16</f>
        <v>0</v>
      </c>
      <c r="L16" s="34"/>
      <c r="M16" s="34"/>
      <c r="N16" s="34"/>
      <c r="O16" s="6"/>
      <c r="P16" s="6"/>
      <c r="Q16" s="6"/>
      <c r="R16" s="6"/>
      <c r="S16" s="6"/>
      <c r="T16" s="6"/>
      <c r="U16" s="6"/>
    </row>
    <row r="17" ht="22.8" customHeight="1" spans="1:21">
      <c r="A17" s="29" t="s">
        <v>224</v>
      </c>
      <c r="B17" s="29" t="s">
        <v>196</v>
      </c>
      <c r="C17" s="29" t="s">
        <v>196</v>
      </c>
      <c r="D17" s="23" t="s">
        <v>262</v>
      </c>
      <c r="E17" s="30" t="s">
        <v>268</v>
      </c>
      <c r="F17" s="43">
        <f t="shared" si="3"/>
        <v>108.936</v>
      </c>
      <c r="G17" s="33">
        <f t="shared" si="4"/>
        <v>108.936</v>
      </c>
      <c r="H17" s="34">
        <v>88.74</v>
      </c>
      <c r="I17" s="34">
        <v>20.196</v>
      </c>
      <c r="J17" s="34"/>
      <c r="K17" s="33">
        <f>L17+M17</f>
        <v>0</v>
      </c>
      <c r="L17" s="34"/>
      <c r="M17" s="34"/>
      <c r="N17" s="34"/>
      <c r="O17" s="6"/>
      <c r="P17" s="6"/>
      <c r="Q17" s="6"/>
      <c r="R17" s="6"/>
      <c r="S17" s="6"/>
      <c r="T17" s="6"/>
      <c r="U17" s="6"/>
    </row>
    <row r="18" ht="22.8" customHeight="1" spans="1:21">
      <c r="A18" s="38" t="s">
        <v>224</v>
      </c>
      <c r="B18" s="38" t="s">
        <v>196</v>
      </c>
      <c r="C18" s="38" t="s">
        <v>231</v>
      </c>
      <c r="D18" s="24" t="s">
        <v>282</v>
      </c>
      <c r="E18" s="61" t="s">
        <v>261</v>
      </c>
      <c r="F18" s="43">
        <f t="shared" si="3"/>
        <v>422.53</v>
      </c>
      <c r="G18" s="33">
        <f t="shared" si="4"/>
        <v>415.53</v>
      </c>
      <c r="H18" s="8">
        <f>104.4+44.75+102.87+85.09+13.2</f>
        <v>350.31</v>
      </c>
      <c r="I18" s="8">
        <f>14.4+9.3+14.4+20.1+7.02</f>
        <v>65.22</v>
      </c>
      <c r="J18" s="8"/>
      <c r="K18" s="33">
        <f>L18+M18</f>
        <v>7</v>
      </c>
      <c r="L18" s="8"/>
      <c r="M18" s="8">
        <v>7</v>
      </c>
      <c r="N18" s="8"/>
      <c r="O18" s="8"/>
      <c r="P18" s="8"/>
      <c r="Q18" s="8"/>
      <c r="R18" s="8"/>
      <c r="S18" s="8"/>
      <c r="T18" s="8"/>
      <c r="U18" s="8"/>
    </row>
    <row r="19" ht="22.8" customHeight="1" spans="1:21">
      <c r="A19" s="29" t="s">
        <v>224</v>
      </c>
      <c r="B19" s="29" t="s">
        <v>196</v>
      </c>
      <c r="C19" s="29" t="s">
        <v>205</v>
      </c>
      <c r="D19" s="23" t="s">
        <v>262</v>
      </c>
      <c r="E19" s="30" t="s">
        <v>269</v>
      </c>
      <c r="F19" s="43">
        <f t="shared" si="3"/>
        <v>225.5</v>
      </c>
      <c r="G19" s="33">
        <f t="shared" si="4"/>
        <v>0</v>
      </c>
      <c r="H19" s="34"/>
      <c r="I19" s="34"/>
      <c r="J19" s="34"/>
      <c r="K19" s="33">
        <f>L19+M19+U19</f>
        <v>225.5</v>
      </c>
      <c r="L19" s="34"/>
      <c r="M19" s="34">
        <v>201</v>
      </c>
      <c r="N19" s="34"/>
      <c r="O19" s="6"/>
      <c r="P19" s="6"/>
      <c r="Q19" s="6"/>
      <c r="R19" s="6"/>
      <c r="S19" s="6"/>
      <c r="T19" s="6"/>
      <c r="U19" s="6">
        <f>24.5</f>
        <v>24.5</v>
      </c>
    </row>
    <row r="20" ht="22.8" customHeight="1" spans="1:21">
      <c r="A20" s="29" t="s">
        <v>235</v>
      </c>
      <c r="B20" s="29" t="s">
        <v>218</v>
      </c>
      <c r="C20" s="29" t="s">
        <v>196</v>
      </c>
      <c r="D20" s="23" t="s">
        <v>262</v>
      </c>
      <c r="E20" s="30" t="s">
        <v>270</v>
      </c>
      <c r="F20" s="43">
        <f t="shared" si="3"/>
        <v>49.26</v>
      </c>
      <c r="G20" s="33">
        <f t="shared" si="4"/>
        <v>49.26</v>
      </c>
      <c r="H20" s="34">
        <f>8.79+10.36+4.46+8.65+8.37+8.63</f>
        <v>49.26</v>
      </c>
      <c r="I20" s="34"/>
      <c r="J20" s="34"/>
      <c r="K20" s="33">
        <f>L20+M20</f>
        <v>0</v>
      </c>
      <c r="L20" s="34"/>
      <c r="M20" s="34"/>
      <c r="N20" s="34"/>
      <c r="O20" s="6"/>
      <c r="P20" s="6"/>
      <c r="Q20" s="6"/>
      <c r="R20" s="6"/>
      <c r="S20" s="6"/>
      <c r="T20" s="6"/>
      <c r="U20" s="6"/>
    </row>
    <row r="21" spans="7:14">
      <c r="G21" s="36"/>
      <c r="H21" s="36"/>
      <c r="I21" s="36"/>
      <c r="J21" s="36"/>
      <c r="K21" s="36"/>
      <c r="L21" s="36"/>
      <c r="M21" s="36"/>
      <c r="N21" s="36"/>
    </row>
    <row r="22" spans="7:14">
      <c r="G22" s="36"/>
      <c r="H22" s="36"/>
      <c r="I22" s="36"/>
      <c r="J22" s="36"/>
      <c r="K22" s="36"/>
      <c r="L22" s="36"/>
      <c r="M22" s="36"/>
      <c r="N22" s="36"/>
    </row>
    <row r="23" spans="7:14">
      <c r="G23" s="36"/>
      <c r="H23" s="36"/>
      <c r="I23" s="36"/>
      <c r="J23" s="36"/>
      <c r="K23" s="36"/>
      <c r="L23" s="36"/>
      <c r="M23" s="36"/>
      <c r="N23" s="36"/>
    </row>
    <row r="24" spans="7:14">
      <c r="G24" s="36"/>
      <c r="H24" s="36"/>
      <c r="I24" s="36"/>
      <c r="J24" s="36"/>
      <c r="K24" s="36"/>
      <c r="L24" s="36"/>
      <c r="M24" s="36"/>
      <c r="N24" s="36"/>
    </row>
    <row r="25" spans="7:14">
      <c r="G25" s="36"/>
      <c r="H25" s="36"/>
      <c r="I25" s="36"/>
      <c r="J25" s="36"/>
      <c r="K25" s="36"/>
      <c r="L25" s="36"/>
      <c r="M25" s="36"/>
      <c r="N25" s="3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scale="98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0"/>
  <sheetViews>
    <sheetView topLeftCell="A11" workbookViewId="0">
      <selection activeCell="D20" sqref="D20"/>
    </sheetView>
  </sheetViews>
  <sheetFormatPr defaultColWidth="9.775" defaultRowHeight="14.25" outlineLevelCol="3"/>
  <cols>
    <col min="1" max="1" width="24.5583333333333" customWidth="1"/>
    <col min="2" max="2" width="16" customWidth="1"/>
    <col min="3" max="4" width="22.2166666666667" customWidth="1"/>
  </cols>
  <sheetData>
    <row r="1" ht="16.35" customHeight="1" spans="1:4">
      <c r="A1" s="1"/>
      <c r="D1" s="19" t="s">
        <v>283</v>
      </c>
    </row>
    <row r="2" ht="31.95" customHeight="1" spans="1:4">
      <c r="A2" s="21" t="s">
        <v>12</v>
      </c>
      <c r="B2" s="21"/>
      <c r="C2" s="21"/>
      <c r="D2" s="21"/>
    </row>
    <row r="3" ht="18.9" customHeight="1" spans="1:4">
      <c r="A3" s="13" t="s">
        <v>31</v>
      </c>
      <c r="B3" s="13"/>
      <c r="C3" s="13"/>
      <c r="D3" s="11" t="s">
        <v>32</v>
      </c>
    </row>
    <row r="4" ht="20.25" customHeight="1" spans="1:4">
      <c r="A4" s="4" t="s">
        <v>33</v>
      </c>
      <c r="B4" s="4"/>
      <c r="C4" s="4" t="s">
        <v>34</v>
      </c>
      <c r="D4" s="4"/>
    </row>
    <row r="5" ht="20.25" customHeight="1" spans="1:4">
      <c r="A5" s="4" t="s">
        <v>35</v>
      </c>
      <c r="B5" s="4" t="s">
        <v>36</v>
      </c>
      <c r="C5" s="4" t="s">
        <v>35</v>
      </c>
      <c r="D5" s="4" t="s">
        <v>36</v>
      </c>
    </row>
    <row r="6" ht="20.25" customHeight="1" spans="1:4">
      <c r="A6" s="59" t="s">
        <v>284</v>
      </c>
      <c r="B6" s="33">
        <f>B7</f>
        <v>995.55</v>
      </c>
      <c r="C6" s="59" t="s">
        <v>285</v>
      </c>
      <c r="D6" s="39">
        <f>SUM(D7:D36)</f>
        <v>995.55</v>
      </c>
    </row>
    <row r="7" ht="20.25" customHeight="1" spans="1:4">
      <c r="A7" s="60" t="s">
        <v>286</v>
      </c>
      <c r="B7" s="34">
        <f>B8</f>
        <v>995.55</v>
      </c>
      <c r="C7" s="60" t="s">
        <v>41</v>
      </c>
      <c r="D7" s="35">
        <f>22.61</f>
        <v>22.61</v>
      </c>
    </row>
    <row r="8" ht="20.25" customHeight="1" spans="1:4">
      <c r="A8" s="60" t="s">
        <v>287</v>
      </c>
      <c r="B8" s="34">
        <f>338.11+152.05+68.34+145.18+132.05+159.82</f>
        <v>995.55</v>
      </c>
      <c r="C8" s="60" t="s">
        <v>45</v>
      </c>
      <c r="D8" s="35"/>
    </row>
    <row r="9" ht="31.05" customHeight="1" spans="1:4">
      <c r="A9" s="60" t="s">
        <v>48</v>
      </c>
      <c r="B9" s="34"/>
      <c r="C9" s="60" t="s">
        <v>49</v>
      </c>
      <c r="D9" s="35"/>
    </row>
    <row r="10" ht="20.25" customHeight="1" spans="1:4">
      <c r="A10" s="60" t="s">
        <v>288</v>
      </c>
      <c r="B10" s="34"/>
      <c r="C10" s="60" t="s">
        <v>53</v>
      </c>
      <c r="D10" s="35"/>
    </row>
    <row r="11" ht="20.25" customHeight="1" spans="1:4">
      <c r="A11" s="60" t="s">
        <v>289</v>
      </c>
      <c r="B11" s="34"/>
      <c r="C11" s="60" t="s">
        <v>57</v>
      </c>
      <c r="D11" s="35"/>
    </row>
    <row r="12" ht="20.25" customHeight="1" spans="1:4">
      <c r="A12" s="60" t="s">
        <v>290</v>
      </c>
      <c r="B12" s="34"/>
      <c r="C12" s="60" t="s">
        <v>61</v>
      </c>
      <c r="D12" s="35"/>
    </row>
    <row r="13" ht="20.25" customHeight="1" spans="1:4">
      <c r="A13" s="59" t="s">
        <v>291</v>
      </c>
      <c r="B13" s="33"/>
      <c r="C13" s="60" t="s">
        <v>65</v>
      </c>
      <c r="D13" s="35"/>
    </row>
    <row r="14" ht="20.25" customHeight="1" spans="1:4">
      <c r="A14" s="60" t="s">
        <v>286</v>
      </c>
      <c r="B14" s="34"/>
      <c r="C14" s="60" t="s">
        <v>69</v>
      </c>
      <c r="D14" s="35">
        <f>12.44+14.68+6.31+12.26+11.86+77.02</f>
        <v>134.57</v>
      </c>
    </row>
    <row r="15" ht="20.25" customHeight="1" spans="1:4">
      <c r="A15" s="60" t="s">
        <v>288</v>
      </c>
      <c r="B15" s="34"/>
      <c r="C15" s="60" t="s">
        <v>73</v>
      </c>
      <c r="D15" s="35"/>
    </row>
    <row r="16" ht="20.25" customHeight="1" spans="1:4">
      <c r="A16" s="60" t="s">
        <v>289</v>
      </c>
      <c r="B16" s="34"/>
      <c r="C16" s="60" t="s">
        <v>77</v>
      </c>
      <c r="D16" s="35">
        <f>6.95+8.2+3.52+6.63+6.84</f>
        <v>32.14</v>
      </c>
    </row>
    <row r="17" ht="20.25" customHeight="1" spans="1:4">
      <c r="A17" s="60" t="s">
        <v>290</v>
      </c>
      <c r="B17" s="34"/>
      <c r="C17" s="60" t="s">
        <v>81</v>
      </c>
      <c r="D17" s="35"/>
    </row>
    <row r="18" ht="20.25" customHeight="1" spans="1:4">
      <c r="A18" s="60"/>
      <c r="B18" s="34"/>
      <c r="C18" s="60" t="s">
        <v>85</v>
      </c>
      <c r="D18" s="35"/>
    </row>
    <row r="19" ht="20.25" customHeight="1" spans="1:4">
      <c r="A19" s="60"/>
      <c r="B19" s="60"/>
      <c r="C19" s="60" t="s">
        <v>89</v>
      </c>
      <c r="D19" s="35">
        <f>309.94+118.8+54.05+124.27+105.19+44.72</f>
        <v>756.97</v>
      </c>
    </row>
    <row r="20" ht="20.25" customHeight="1" spans="1:4">
      <c r="A20" s="60"/>
      <c r="B20" s="60"/>
      <c r="C20" s="60" t="s">
        <v>93</v>
      </c>
      <c r="D20" s="35"/>
    </row>
    <row r="21" ht="20.25" customHeight="1" spans="1:4">
      <c r="A21" s="60"/>
      <c r="B21" s="60"/>
      <c r="C21" s="60" t="s">
        <v>97</v>
      </c>
      <c r="D21" s="35"/>
    </row>
    <row r="22" ht="20.25" customHeight="1" spans="1:4">
      <c r="A22" s="60"/>
      <c r="B22" s="60"/>
      <c r="C22" s="60" t="s">
        <v>100</v>
      </c>
      <c r="D22" s="35"/>
    </row>
    <row r="23" ht="20.25" customHeight="1" spans="1:4">
      <c r="A23" s="60"/>
      <c r="B23" s="60"/>
      <c r="C23" s="60" t="s">
        <v>103</v>
      </c>
      <c r="D23" s="35"/>
    </row>
    <row r="24" ht="20.25" customHeight="1" spans="1:4">
      <c r="A24" s="60"/>
      <c r="B24" s="60"/>
      <c r="C24" s="60" t="s">
        <v>105</v>
      </c>
      <c r="D24" s="35"/>
    </row>
    <row r="25" ht="20.25" customHeight="1" spans="1:4">
      <c r="A25" s="60"/>
      <c r="B25" s="60"/>
      <c r="C25" s="60" t="s">
        <v>107</v>
      </c>
      <c r="D25" s="35"/>
    </row>
    <row r="26" ht="20.25" customHeight="1" spans="1:4">
      <c r="A26" s="60"/>
      <c r="B26" s="60"/>
      <c r="C26" s="60" t="s">
        <v>109</v>
      </c>
      <c r="D26" s="35">
        <f>19.15+4.46+8.65+8.37+8.63</f>
        <v>49.26</v>
      </c>
    </row>
    <row r="27" ht="20.25" customHeight="1" spans="1:4">
      <c r="A27" s="60"/>
      <c r="B27" s="60"/>
      <c r="C27" s="60" t="s">
        <v>111</v>
      </c>
      <c r="D27" s="35"/>
    </row>
    <row r="28" ht="20.25" customHeight="1" spans="1:4">
      <c r="A28" s="60"/>
      <c r="B28" s="60"/>
      <c r="C28" s="60" t="s">
        <v>113</v>
      </c>
      <c r="D28" s="35"/>
    </row>
    <row r="29" ht="20.25" customHeight="1" spans="1:4">
      <c r="A29" s="60"/>
      <c r="B29" s="60"/>
      <c r="C29" s="60" t="s">
        <v>115</v>
      </c>
      <c r="D29" s="35"/>
    </row>
    <row r="30" ht="20.25" customHeight="1" spans="1:4">
      <c r="A30" s="60"/>
      <c r="B30" s="60"/>
      <c r="C30" s="60" t="s">
        <v>117</v>
      </c>
      <c r="D30" s="35"/>
    </row>
    <row r="31" ht="20.25" customHeight="1" spans="1:4">
      <c r="A31" s="60"/>
      <c r="B31" s="60"/>
      <c r="C31" s="60" t="s">
        <v>119</v>
      </c>
      <c r="D31" s="35"/>
    </row>
    <row r="32" ht="20.25" customHeight="1" spans="1:4">
      <c r="A32" s="60"/>
      <c r="B32" s="60"/>
      <c r="C32" s="60" t="s">
        <v>121</v>
      </c>
      <c r="D32" s="35"/>
    </row>
    <row r="33" ht="20.25" customHeight="1" spans="1:4">
      <c r="A33" s="5"/>
      <c r="B33" s="5"/>
      <c r="C33" s="5" t="s">
        <v>123</v>
      </c>
      <c r="D33" s="27"/>
    </row>
    <row r="34" ht="20.25" customHeight="1" spans="1:4">
      <c r="A34" s="5"/>
      <c r="B34" s="5"/>
      <c r="C34" s="5" t="s">
        <v>124</v>
      </c>
      <c r="D34" s="27"/>
    </row>
    <row r="35" ht="20.25" customHeight="1" spans="1:4">
      <c r="A35" s="5"/>
      <c r="B35" s="5"/>
      <c r="C35" s="5" t="s">
        <v>125</v>
      </c>
      <c r="D35" s="27"/>
    </row>
    <row r="36" ht="20.25" customHeight="1" spans="1:4">
      <c r="A36" s="5"/>
      <c r="B36" s="5"/>
      <c r="C36" s="5" t="s">
        <v>126</v>
      </c>
      <c r="D36" s="27"/>
    </row>
    <row r="37" ht="20.25" customHeight="1" spans="1:4">
      <c r="A37" s="5"/>
      <c r="B37" s="5"/>
      <c r="C37" s="5"/>
      <c r="D37" s="5"/>
    </row>
    <row r="38" ht="20.25" customHeight="1" spans="1:4">
      <c r="A38" s="16"/>
      <c r="B38" s="16"/>
      <c r="C38" s="16" t="s">
        <v>292</v>
      </c>
      <c r="D38" s="15"/>
    </row>
    <row r="39" ht="20.25" customHeight="1" spans="1:4">
      <c r="A39" s="16"/>
      <c r="B39" s="16"/>
      <c r="C39" s="16"/>
      <c r="D39" s="16"/>
    </row>
    <row r="40" ht="20.25" customHeight="1" spans="1:4">
      <c r="A40" s="22" t="s">
        <v>293</v>
      </c>
      <c r="B40" s="15">
        <f>B6</f>
        <v>995.55</v>
      </c>
      <c r="C40" s="22" t="s">
        <v>294</v>
      </c>
      <c r="D40" s="43">
        <f>D6</f>
        <v>995.55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zoomScale="115" zoomScaleNormal="115" topLeftCell="E1" workbookViewId="0">
      <pane ySplit="6" topLeftCell="A7" activePane="bottomLeft" state="frozen"/>
      <selection/>
      <selection pane="bottomLeft" activeCell="F18" sqref="F18:K34"/>
    </sheetView>
  </sheetViews>
  <sheetFormatPr defaultColWidth="9.775" defaultRowHeight="14.25"/>
  <cols>
    <col min="1" max="1" width="3.66666666666667" customWidth="1"/>
    <col min="2" max="2" width="4.88333333333333" customWidth="1"/>
    <col min="3" max="3" width="4.775" customWidth="1"/>
    <col min="4" max="4" width="14.6666666666667" customWidth="1"/>
    <col min="5" max="5" width="24.775" customWidth="1"/>
    <col min="6" max="6" width="14" customWidth="1"/>
    <col min="7" max="7" width="11.5583333333333" customWidth="1"/>
    <col min="8" max="8" width="9.10833333333333" customWidth="1"/>
    <col min="9" max="9" width="10.4416666666667" customWidth="1"/>
    <col min="10" max="10" width="11.4416666666667" customWidth="1"/>
    <col min="11" max="11" width="15.8833333333333" customWidth="1"/>
  </cols>
  <sheetData>
    <row r="1" ht="16.35" customHeight="1" spans="1:11">
      <c r="A1" s="1"/>
      <c r="D1" s="1"/>
      <c r="K1" s="19" t="s">
        <v>295</v>
      </c>
    </row>
    <row r="2" ht="43.05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1" t="s">
        <v>32</v>
      </c>
      <c r="K3" s="11"/>
    </row>
    <row r="4" ht="19.8" customHeight="1" spans="1:11">
      <c r="A4" s="4" t="s">
        <v>168</v>
      </c>
      <c r="B4" s="4"/>
      <c r="C4" s="4"/>
      <c r="D4" s="4" t="s">
        <v>169</v>
      </c>
      <c r="E4" s="4" t="s">
        <v>170</v>
      </c>
      <c r="F4" s="4" t="s">
        <v>136</v>
      </c>
      <c r="G4" s="4" t="s">
        <v>171</v>
      </c>
      <c r="H4" s="4"/>
      <c r="I4" s="4"/>
      <c r="J4" s="4"/>
      <c r="K4" s="4" t="s">
        <v>172</v>
      </c>
    </row>
    <row r="5" ht="19.8" customHeight="1" spans="1:11">
      <c r="A5" s="4"/>
      <c r="B5" s="4"/>
      <c r="C5" s="4"/>
      <c r="D5" s="4"/>
      <c r="E5" s="4"/>
      <c r="F5" s="4"/>
      <c r="G5" s="4" t="s">
        <v>138</v>
      </c>
      <c r="H5" s="4" t="s">
        <v>296</v>
      </c>
      <c r="I5" s="4"/>
      <c r="J5" s="4" t="s">
        <v>297</v>
      </c>
      <c r="K5" s="4"/>
    </row>
    <row r="6" ht="24.15" customHeight="1" spans="1:11">
      <c r="A6" s="4" t="s">
        <v>176</v>
      </c>
      <c r="B6" s="4" t="s">
        <v>177</v>
      </c>
      <c r="C6" s="4" t="s">
        <v>178</v>
      </c>
      <c r="D6" s="4"/>
      <c r="E6" s="4"/>
      <c r="F6" s="4"/>
      <c r="G6" s="4"/>
      <c r="H6" s="4" t="s">
        <v>273</v>
      </c>
      <c r="I6" s="4" t="s">
        <v>254</v>
      </c>
      <c r="J6" s="4"/>
      <c r="K6" s="4"/>
    </row>
    <row r="7" ht="22.8" customHeight="1" spans="1:11">
      <c r="A7" s="5"/>
      <c r="B7" s="5"/>
      <c r="C7" s="5"/>
      <c r="D7" s="16"/>
      <c r="E7" s="16" t="s">
        <v>136</v>
      </c>
      <c r="F7" s="15">
        <f t="shared" ref="F7:K7" si="0">F8</f>
        <v>995.5471</v>
      </c>
      <c r="G7" s="15">
        <f t="shared" si="0"/>
        <v>763.0471</v>
      </c>
      <c r="H7" s="15">
        <f t="shared" si="0"/>
        <v>664.4311</v>
      </c>
      <c r="I7" s="15">
        <f t="shared" si="0"/>
        <v>0</v>
      </c>
      <c r="J7" s="15">
        <f t="shared" si="0"/>
        <v>98.616</v>
      </c>
      <c r="K7" s="15">
        <f t="shared" si="0"/>
        <v>232.5</v>
      </c>
    </row>
    <row r="8" ht="22.8" customHeight="1" spans="1:11">
      <c r="A8" s="5"/>
      <c r="B8" s="5"/>
      <c r="C8" s="5"/>
      <c r="D8" s="14" t="s">
        <v>154</v>
      </c>
      <c r="E8" s="14" t="s">
        <v>4</v>
      </c>
      <c r="F8" s="15">
        <f t="shared" ref="F8:K8" si="1">F9</f>
        <v>995.5471</v>
      </c>
      <c r="G8" s="15">
        <f t="shared" si="1"/>
        <v>763.0471</v>
      </c>
      <c r="H8" s="15">
        <f t="shared" si="1"/>
        <v>664.4311</v>
      </c>
      <c r="I8" s="15">
        <f t="shared" si="1"/>
        <v>0</v>
      </c>
      <c r="J8" s="15">
        <f t="shared" si="1"/>
        <v>98.616</v>
      </c>
      <c r="K8" s="15">
        <f t="shared" si="1"/>
        <v>232.5</v>
      </c>
    </row>
    <row r="9" ht="22.8" customHeight="1" spans="1:11">
      <c r="A9" s="5"/>
      <c r="B9" s="5"/>
      <c r="C9" s="5"/>
      <c r="D9" s="26" t="s">
        <v>155</v>
      </c>
      <c r="E9" s="26" t="s">
        <v>156</v>
      </c>
      <c r="F9" s="15">
        <f>G9+K9</f>
        <v>995.5471</v>
      </c>
      <c r="G9" s="15">
        <f>H9+I9+J9</f>
        <v>763.0471</v>
      </c>
      <c r="H9" s="15">
        <f>H15+H22+H27+H32+H10</f>
        <v>664.4311</v>
      </c>
      <c r="I9" s="15">
        <f>I15+I22+I27+I32</f>
        <v>0</v>
      </c>
      <c r="J9" s="15">
        <f>J15+J22+J27+J32</f>
        <v>98.616</v>
      </c>
      <c r="K9" s="15">
        <f>K15+K22+K27+K32</f>
        <v>232.5</v>
      </c>
    </row>
    <row r="10" s="20" customFormat="1" ht="19.9" customHeight="1" spans="1:11">
      <c r="A10" s="54" t="s">
        <v>180</v>
      </c>
      <c r="B10" s="54"/>
      <c r="C10" s="54"/>
      <c r="D10" s="55" t="s">
        <v>181</v>
      </c>
      <c r="E10" s="55" t="s">
        <v>182</v>
      </c>
      <c r="F10" s="58">
        <v>22.6176</v>
      </c>
      <c r="G10" s="58">
        <v>22.6176</v>
      </c>
      <c r="H10" s="58">
        <v>22.6176</v>
      </c>
      <c r="I10" s="58"/>
      <c r="J10" s="58"/>
      <c r="K10" s="58"/>
    </row>
    <row r="11" s="20" customFormat="1" ht="19.9" customHeight="1" spans="1:11">
      <c r="A11" s="54" t="s">
        <v>180</v>
      </c>
      <c r="B11" s="56" t="s">
        <v>183</v>
      </c>
      <c r="C11" s="54"/>
      <c r="D11" s="55" t="s">
        <v>298</v>
      </c>
      <c r="E11" s="55" t="s">
        <v>299</v>
      </c>
      <c r="F11" s="58">
        <v>22.5816</v>
      </c>
      <c r="G11" s="58">
        <v>22.5816</v>
      </c>
      <c r="H11" s="58">
        <v>22.5816</v>
      </c>
      <c r="I11" s="58"/>
      <c r="J11" s="58"/>
      <c r="K11" s="58"/>
    </row>
    <row r="12" s="20" customFormat="1" ht="19.9" customHeight="1" spans="1:11">
      <c r="A12" s="38" t="s">
        <v>180</v>
      </c>
      <c r="B12" s="38" t="s">
        <v>183</v>
      </c>
      <c r="C12" s="38" t="s">
        <v>186</v>
      </c>
      <c r="D12" s="24" t="s">
        <v>300</v>
      </c>
      <c r="E12" s="7" t="s">
        <v>301</v>
      </c>
      <c r="F12" s="8">
        <v>22.5816</v>
      </c>
      <c r="G12" s="8">
        <v>22.5816</v>
      </c>
      <c r="H12" s="40">
        <v>22.5816</v>
      </c>
      <c r="I12" s="40"/>
      <c r="J12" s="40"/>
      <c r="K12" s="40"/>
    </row>
    <row r="13" s="20" customFormat="1" ht="19.9" customHeight="1" spans="1:11">
      <c r="A13" s="54" t="s">
        <v>180</v>
      </c>
      <c r="B13" s="56" t="s">
        <v>189</v>
      </c>
      <c r="C13" s="54"/>
      <c r="D13" s="55" t="s">
        <v>302</v>
      </c>
      <c r="E13" s="55" t="s">
        <v>303</v>
      </c>
      <c r="F13" s="58">
        <v>0.036</v>
      </c>
      <c r="G13" s="58">
        <v>0.036</v>
      </c>
      <c r="H13" s="58">
        <v>0.036</v>
      </c>
      <c r="I13" s="58"/>
      <c r="J13" s="58"/>
      <c r="K13" s="58"/>
    </row>
    <row r="14" s="20" customFormat="1" ht="19.9" customHeight="1" spans="1:11">
      <c r="A14" s="38" t="s">
        <v>180</v>
      </c>
      <c r="B14" s="38" t="s">
        <v>189</v>
      </c>
      <c r="C14" s="38" t="s">
        <v>186</v>
      </c>
      <c r="D14" s="24" t="s">
        <v>304</v>
      </c>
      <c r="E14" s="7" t="s">
        <v>301</v>
      </c>
      <c r="F14" s="8">
        <v>0.036</v>
      </c>
      <c r="G14" s="8">
        <v>0.036</v>
      </c>
      <c r="H14" s="40">
        <v>0.036</v>
      </c>
      <c r="I14" s="40"/>
      <c r="J14" s="40"/>
      <c r="K14" s="40"/>
    </row>
    <row r="15" ht="22.8" customHeight="1" spans="1:11">
      <c r="A15" s="22" t="s">
        <v>193</v>
      </c>
      <c r="B15" s="22"/>
      <c r="C15" s="22"/>
      <c r="D15" s="16" t="s">
        <v>194</v>
      </c>
      <c r="E15" s="16" t="s">
        <v>195</v>
      </c>
      <c r="F15" s="15">
        <f>G15+K15</f>
        <v>134.5635</v>
      </c>
      <c r="G15" s="15">
        <f>H15+I15+J15</f>
        <v>134.5635</v>
      </c>
      <c r="H15" s="15">
        <f>H18+H20+H16</f>
        <v>134.5635</v>
      </c>
      <c r="I15" s="15"/>
      <c r="J15" s="15"/>
      <c r="K15" s="15"/>
    </row>
    <row r="16" s="20" customFormat="1" ht="19.9" customHeight="1" spans="1:11">
      <c r="A16" s="54" t="s">
        <v>193</v>
      </c>
      <c r="B16" s="56" t="s">
        <v>196</v>
      </c>
      <c r="C16" s="54"/>
      <c r="D16" s="55" t="s">
        <v>305</v>
      </c>
      <c r="E16" s="55" t="s">
        <v>306</v>
      </c>
      <c r="F16" s="58">
        <v>64.7835</v>
      </c>
      <c r="G16" s="58">
        <v>64.7835</v>
      </c>
      <c r="H16" s="58">
        <v>64.7835</v>
      </c>
      <c r="I16" s="58"/>
      <c r="J16" s="58"/>
      <c r="K16" s="58"/>
    </row>
    <row r="17" s="20" customFormat="1" ht="19.9" customHeight="1" spans="1:11">
      <c r="A17" s="38" t="s">
        <v>193</v>
      </c>
      <c r="B17" s="38" t="s">
        <v>196</v>
      </c>
      <c r="C17" s="38" t="s">
        <v>186</v>
      </c>
      <c r="D17" s="24" t="s">
        <v>307</v>
      </c>
      <c r="E17" s="7" t="s">
        <v>301</v>
      </c>
      <c r="F17" s="8">
        <v>64.7835</v>
      </c>
      <c r="G17" s="8">
        <v>64.7835</v>
      </c>
      <c r="H17" s="40">
        <v>64.7835</v>
      </c>
      <c r="I17" s="40"/>
      <c r="J17" s="40"/>
      <c r="K17" s="40"/>
    </row>
    <row r="18" ht="22.8" customHeight="1" spans="1:11">
      <c r="A18" s="22" t="s">
        <v>193</v>
      </c>
      <c r="B18" s="57" t="s">
        <v>200</v>
      </c>
      <c r="C18" s="22"/>
      <c r="D18" s="16" t="s">
        <v>308</v>
      </c>
      <c r="E18" s="16" t="s">
        <v>309</v>
      </c>
      <c r="F18" s="33">
        <f t="shared" ref="F18:F34" si="2">G18+K18</f>
        <v>65.68</v>
      </c>
      <c r="G18" s="33">
        <f t="shared" ref="G18:G34" si="3">H18+I18+J18</f>
        <v>65.68</v>
      </c>
      <c r="H18" s="33">
        <f>H19</f>
        <v>65.68</v>
      </c>
      <c r="I18" s="33"/>
      <c r="J18" s="33"/>
      <c r="K18" s="33"/>
    </row>
    <row r="19" ht="22.8" customHeight="1" spans="1:11">
      <c r="A19" s="29" t="s">
        <v>193</v>
      </c>
      <c r="B19" s="29" t="s">
        <v>200</v>
      </c>
      <c r="C19" s="29" t="s">
        <v>200</v>
      </c>
      <c r="D19" s="23" t="s">
        <v>310</v>
      </c>
      <c r="E19" s="5" t="s">
        <v>311</v>
      </c>
      <c r="F19" s="33">
        <f t="shared" si="2"/>
        <v>65.68</v>
      </c>
      <c r="G19" s="33">
        <f t="shared" si="3"/>
        <v>65.68</v>
      </c>
      <c r="H19" s="35">
        <f>11.71+13.82+5.94+11.54+11.16+11.51</f>
        <v>65.68</v>
      </c>
      <c r="I19" s="35"/>
      <c r="J19" s="35"/>
      <c r="K19" s="35"/>
    </row>
    <row r="20" ht="22.8" customHeight="1" spans="1:11">
      <c r="A20" s="22" t="s">
        <v>193</v>
      </c>
      <c r="B20" s="57" t="s">
        <v>205</v>
      </c>
      <c r="C20" s="22"/>
      <c r="D20" s="16" t="s">
        <v>312</v>
      </c>
      <c r="E20" s="16" t="s">
        <v>264</v>
      </c>
      <c r="F20" s="33">
        <f t="shared" si="2"/>
        <v>4.1</v>
      </c>
      <c r="G20" s="33">
        <f t="shared" si="3"/>
        <v>4.1</v>
      </c>
      <c r="H20" s="33">
        <f>H21</f>
        <v>4.1</v>
      </c>
      <c r="I20" s="33"/>
      <c r="J20" s="33"/>
      <c r="K20" s="33"/>
    </row>
    <row r="21" ht="22.8" customHeight="1" spans="1:11">
      <c r="A21" s="29" t="s">
        <v>193</v>
      </c>
      <c r="B21" s="29" t="s">
        <v>205</v>
      </c>
      <c r="C21" s="29" t="s">
        <v>205</v>
      </c>
      <c r="D21" s="23" t="s">
        <v>313</v>
      </c>
      <c r="E21" s="5" t="s">
        <v>207</v>
      </c>
      <c r="F21" s="33">
        <f t="shared" si="2"/>
        <v>4.1</v>
      </c>
      <c r="G21" s="33">
        <f t="shared" si="3"/>
        <v>4.1</v>
      </c>
      <c r="H21" s="35">
        <f>0.73+0.86+0.37+0.72+0.7+0.72</f>
        <v>4.1</v>
      </c>
      <c r="I21" s="35"/>
      <c r="J21" s="35"/>
      <c r="K21" s="35"/>
    </row>
    <row r="22" ht="22.8" customHeight="1" spans="1:11">
      <c r="A22" s="22" t="s">
        <v>210</v>
      </c>
      <c r="B22" s="22"/>
      <c r="C22" s="22"/>
      <c r="D22" s="16" t="s">
        <v>211</v>
      </c>
      <c r="E22" s="16" t="s">
        <v>212</v>
      </c>
      <c r="F22" s="33">
        <f t="shared" si="2"/>
        <v>32.14</v>
      </c>
      <c r="G22" s="33">
        <f t="shared" si="3"/>
        <v>32.14</v>
      </c>
      <c r="H22" s="33">
        <f>H23</f>
        <v>32.14</v>
      </c>
      <c r="I22" s="33"/>
      <c r="J22" s="33"/>
      <c r="K22" s="33"/>
    </row>
    <row r="23" ht="22.8" customHeight="1" spans="1:11">
      <c r="A23" s="22" t="s">
        <v>210</v>
      </c>
      <c r="B23" s="57" t="s">
        <v>213</v>
      </c>
      <c r="C23" s="22"/>
      <c r="D23" s="16" t="s">
        <v>314</v>
      </c>
      <c r="E23" s="16" t="s">
        <v>315</v>
      </c>
      <c r="F23" s="33">
        <f t="shared" si="2"/>
        <v>32.14</v>
      </c>
      <c r="G23" s="33">
        <f t="shared" si="3"/>
        <v>32.14</v>
      </c>
      <c r="H23" s="33">
        <f>H24+H26+H25</f>
        <v>32.14</v>
      </c>
      <c r="I23" s="33"/>
      <c r="J23" s="33"/>
      <c r="K23" s="33"/>
    </row>
    <row r="24" ht="22.8" customHeight="1" spans="1:11">
      <c r="A24" s="29" t="s">
        <v>210</v>
      </c>
      <c r="B24" s="29" t="s">
        <v>213</v>
      </c>
      <c r="C24" s="29" t="s">
        <v>196</v>
      </c>
      <c r="D24" s="23" t="s">
        <v>316</v>
      </c>
      <c r="E24" s="5" t="s">
        <v>317</v>
      </c>
      <c r="F24" s="33">
        <f t="shared" si="2"/>
        <v>13.56</v>
      </c>
      <c r="G24" s="33">
        <f t="shared" si="3"/>
        <v>13.56</v>
      </c>
      <c r="H24" s="35">
        <f>6.22+7.34</f>
        <v>13.56</v>
      </c>
      <c r="I24" s="35"/>
      <c r="J24" s="35"/>
      <c r="K24" s="35"/>
    </row>
    <row r="25" s="20" customFormat="1" ht="22.9" customHeight="1" spans="1:11">
      <c r="A25" s="38" t="s">
        <v>210</v>
      </c>
      <c r="B25" s="38" t="s">
        <v>213</v>
      </c>
      <c r="C25" s="38" t="s">
        <v>218</v>
      </c>
      <c r="D25" s="24" t="s">
        <v>318</v>
      </c>
      <c r="E25" s="7" t="s">
        <v>319</v>
      </c>
      <c r="F25" s="33">
        <f t="shared" si="2"/>
        <v>15.2</v>
      </c>
      <c r="G25" s="33">
        <f t="shared" si="3"/>
        <v>15.2</v>
      </c>
      <c r="H25" s="40">
        <f>3.15+5.93+6.12</f>
        <v>15.2</v>
      </c>
      <c r="I25" s="40"/>
      <c r="J25" s="40"/>
      <c r="K25" s="40"/>
    </row>
    <row r="26" ht="22.8" customHeight="1" spans="1:11">
      <c r="A26" s="29" t="s">
        <v>210</v>
      </c>
      <c r="B26" s="29" t="s">
        <v>213</v>
      </c>
      <c r="C26" s="29" t="s">
        <v>221</v>
      </c>
      <c r="D26" s="23" t="s">
        <v>320</v>
      </c>
      <c r="E26" s="5" t="s">
        <v>321</v>
      </c>
      <c r="F26" s="33">
        <f t="shared" si="2"/>
        <v>3.38</v>
      </c>
      <c r="G26" s="33">
        <f t="shared" si="3"/>
        <v>3.38</v>
      </c>
      <c r="H26" s="35">
        <f>0.73+0.86+0.37+0.7+0.72</f>
        <v>3.38</v>
      </c>
      <c r="I26" s="35"/>
      <c r="J26" s="35"/>
      <c r="K26" s="35"/>
    </row>
    <row r="27" ht="22.8" customHeight="1" spans="1:11">
      <c r="A27" s="22" t="s">
        <v>224</v>
      </c>
      <c r="B27" s="22"/>
      <c r="C27" s="22"/>
      <c r="D27" s="16" t="s">
        <v>225</v>
      </c>
      <c r="E27" s="16" t="s">
        <v>226</v>
      </c>
      <c r="F27" s="33">
        <f t="shared" si="2"/>
        <v>756.966</v>
      </c>
      <c r="G27" s="33">
        <f t="shared" si="3"/>
        <v>524.466</v>
      </c>
      <c r="H27" s="33">
        <f>H28</f>
        <v>425.85</v>
      </c>
      <c r="I27" s="33"/>
      <c r="J27" s="33">
        <f>J28</f>
        <v>98.616</v>
      </c>
      <c r="K27" s="33">
        <f>K28</f>
        <v>232.5</v>
      </c>
    </row>
    <row r="28" ht="22.8" customHeight="1" spans="1:11">
      <c r="A28" s="22" t="s">
        <v>224</v>
      </c>
      <c r="B28" s="57" t="s">
        <v>196</v>
      </c>
      <c r="C28" s="22"/>
      <c r="D28" s="16" t="s">
        <v>322</v>
      </c>
      <c r="E28" s="16" t="s">
        <v>323</v>
      </c>
      <c r="F28" s="33">
        <f t="shared" si="2"/>
        <v>756.966</v>
      </c>
      <c r="G28" s="33">
        <f t="shared" si="3"/>
        <v>524.466</v>
      </c>
      <c r="H28" s="33">
        <f>H29+H31+H30</f>
        <v>425.85</v>
      </c>
      <c r="I28" s="33"/>
      <c r="J28" s="33">
        <f>J29+J30</f>
        <v>98.616</v>
      </c>
      <c r="K28" s="33">
        <f>K29+K30+K31</f>
        <v>232.5</v>
      </c>
    </row>
    <row r="29" ht="22.8" customHeight="1" spans="1:11">
      <c r="A29" s="29" t="s">
        <v>224</v>
      </c>
      <c r="B29" s="29" t="s">
        <v>196</v>
      </c>
      <c r="C29" s="29" t="s">
        <v>196</v>
      </c>
      <c r="D29" s="23" t="s">
        <v>324</v>
      </c>
      <c r="E29" s="5" t="s">
        <v>325</v>
      </c>
      <c r="F29" s="33">
        <f t="shared" si="2"/>
        <v>108.936</v>
      </c>
      <c r="G29" s="33">
        <f t="shared" si="3"/>
        <v>108.936</v>
      </c>
      <c r="H29" s="35">
        <f>88.74</f>
        <v>88.74</v>
      </c>
      <c r="I29" s="35"/>
      <c r="J29" s="35">
        <v>20.196</v>
      </c>
      <c r="K29" s="35"/>
    </row>
    <row r="30" ht="22.8" customHeight="1" spans="1:11">
      <c r="A30" s="38" t="s">
        <v>224</v>
      </c>
      <c r="B30" s="38" t="s">
        <v>196</v>
      </c>
      <c r="C30" s="38" t="s">
        <v>231</v>
      </c>
      <c r="D30" s="24">
        <v>2130104</v>
      </c>
      <c r="E30" s="7" t="s">
        <v>301</v>
      </c>
      <c r="F30" s="33">
        <f t="shared" si="2"/>
        <v>422.53</v>
      </c>
      <c r="G30" s="33">
        <f t="shared" si="3"/>
        <v>415.53</v>
      </c>
      <c r="H30" s="40">
        <f>337.11</f>
        <v>337.11</v>
      </c>
      <c r="I30" s="40"/>
      <c r="J30" s="40">
        <f>58.2+20.22</f>
        <v>78.42</v>
      </c>
      <c r="K30" s="40">
        <f>7</f>
        <v>7</v>
      </c>
    </row>
    <row r="31" ht="22.8" customHeight="1" spans="1:11">
      <c r="A31" s="29" t="s">
        <v>224</v>
      </c>
      <c r="B31" s="29" t="s">
        <v>196</v>
      </c>
      <c r="C31" s="29" t="s">
        <v>205</v>
      </c>
      <c r="D31" s="23" t="s">
        <v>326</v>
      </c>
      <c r="E31" s="5" t="s">
        <v>327</v>
      </c>
      <c r="F31" s="33">
        <f t="shared" si="2"/>
        <v>225.5</v>
      </c>
      <c r="G31" s="33">
        <f t="shared" si="3"/>
        <v>0</v>
      </c>
      <c r="H31" s="35"/>
      <c r="I31" s="35"/>
      <c r="J31" s="35"/>
      <c r="K31" s="35">
        <f>201+24.5</f>
        <v>225.5</v>
      </c>
    </row>
    <row r="32" ht="22.8" customHeight="1" spans="1:11">
      <c r="A32" s="22" t="s">
        <v>235</v>
      </c>
      <c r="B32" s="22"/>
      <c r="C32" s="22"/>
      <c r="D32" s="16" t="s">
        <v>236</v>
      </c>
      <c r="E32" s="16" t="s">
        <v>237</v>
      </c>
      <c r="F32" s="33">
        <f t="shared" si="2"/>
        <v>49.26</v>
      </c>
      <c r="G32" s="33">
        <f t="shared" si="3"/>
        <v>49.26</v>
      </c>
      <c r="H32" s="33">
        <f>H33</f>
        <v>49.26</v>
      </c>
      <c r="I32" s="33"/>
      <c r="J32" s="33"/>
      <c r="K32" s="33"/>
    </row>
    <row r="33" ht="22.8" customHeight="1" spans="1:11">
      <c r="A33" s="22" t="s">
        <v>235</v>
      </c>
      <c r="B33" s="57" t="s">
        <v>218</v>
      </c>
      <c r="C33" s="22"/>
      <c r="D33" s="16" t="s">
        <v>328</v>
      </c>
      <c r="E33" s="16" t="s">
        <v>329</v>
      </c>
      <c r="F33" s="33">
        <f t="shared" si="2"/>
        <v>49.26</v>
      </c>
      <c r="G33" s="33">
        <f t="shared" si="3"/>
        <v>49.26</v>
      </c>
      <c r="H33" s="33">
        <f>H34</f>
        <v>49.26</v>
      </c>
      <c r="I33" s="33"/>
      <c r="J33" s="33"/>
      <c r="K33" s="33"/>
    </row>
    <row r="34" ht="22.8" customHeight="1" spans="1:11">
      <c r="A34" s="29" t="s">
        <v>235</v>
      </c>
      <c r="B34" s="29" t="s">
        <v>218</v>
      </c>
      <c r="C34" s="29" t="s">
        <v>196</v>
      </c>
      <c r="D34" s="23" t="s">
        <v>330</v>
      </c>
      <c r="E34" s="5" t="s">
        <v>331</v>
      </c>
      <c r="F34" s="33">
        <f t="shared" si="2"/>
        <v>49.26</v>
      </c>
      <c r="G34" s="33">
        <f t="shared" si="3"/>
        <v>49.26</v>
      </c>
      <c r="H34" s="35">
        <f>8.79+10.36+4.46+8.65+8.37+8.63</f>
        <v>49.26</v>
      </c>
      <c r="I34" s="35"/>
      <c r="J34" s="35"/>
      <c r="K34" s="35"/>
    </row>
    <row r="35" ht="16.35" customHeight="1" spans="1:5">
      <c r="A35" s="25" t="s">
        <v>332</v>
      </c>
      <c r="B35" s="25"/>
      <c r="C35" s="25"/>
      <c r="D35" s="25"/>
      <c r="E35" s="25"/>
    </row>
  </sheetData>
  <mergeCells count="13">
    <mergeCell ref="A2:K2"/>
    <mergeCell ref="A3:I3"/>
    <mergeCell ref="J3:K3"/>
    <mergeCell ref="G4:J4"/>
    <mergeCell ref="H5:I5"/>
    <mergeCell ref="A35:E3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芯  小妞</cp:lastModifiedBy>
  <dcterms:created xsi:type="dcterms:W3CDTF">2026-03-15T13:49:00Z</dcterms:created>
  <dcterms:modified xsi:type="dcterms:W3CDTF">2026-03-25T10:24:37Z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5E69881E37F76065FBA7C069B2909C77_42</vt:lpwstr>
  </property>
  <property fmtid="{D5CDD505-2E9C-101B-9397-08002B2CF9AE}" pid="3" name="KSOProductBuildVer">
    <vt:lpwstr>2052-12.8.2.21176</vt:lpwstr>
  </property>
</Properties>
</file>